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tabRatio="987"/>
  </bookViews>
  <sheets>
    <sheet name="PROPOSTA RESUMO" sheetId="7" r:id="rId1"/>
    <sheet name="12X36 DIURNO " sheetId="9" r:id="rId2"/>
    <sheet name="12X36 NOTURNO" sheetId="15" r:id="rId3"/>
    <sheet name="44 HR  SEMANAIS" sheetId="32" r:id="rId4"/>
    <sheet name="44 HR  SEMANAIS LIDER" sheetId="16" r:id="rId5"/>
  </sheets>
  <definedNames>
    <definedName name="_xlnm.Print_Area" localSheetId="1">'12X36 DIURNO '!$A$1:$I$145</definedName>
    <definedName name="_xlnm.Print_Area" localSheetId="2">'12X36 NOTURNO'!$A$1:$I$146</definedName>
    <definedName name="_xlnm.Print_Area" localSheetId="3">'44 HR  SEMANAIS'!$A$1:$I$146</definedName>
    <definedName name="_xlnm.Print_Area" localSheetId="4">'44 HR  SEMANAIS LIDER'!$A$1:$I$146</definedName>
    <definedName name="_xlnm.Print_Area" localSheetId="0">'PROPOSTA RESUMO'!$A$1:$H$44</definedName>
    <definedName name="ARMAM.">#REF!</definedName>
    <definedName name="EQUIP">#REF!</definedName>
    <definedName name="UNIF">#REF!</definedName>
  </definedNames>
  <calcPr calcId="145621" fullPrecision="0"/>
</workbook>
</file>

<file path=xl/calcChain.xml><?xml version="1.0" encoding="utf-8"?>
<calcChain xmlns="http://schemas.openxmlformats.org/spreadsheetml/2006/main">
  <c r="I56" i="15" l="1"/>
  <c r="I23" i="32"/>
  <c r="I56" i="16"/>
  <c r="K52" i="16"/>
  <c r="I23" i="16"/>
  <c r="I28" i="16" s="1"/>
  <c r="H9" i="9"/>
  <c r="L52" i="16" l="1"/>
  <c r="I52" i="16" s="1"/>
  <c r="I61" i="16" s="1"/>
  <c r="I24" i="16"/>
  <c r="H115" i="32"/>
  <c r="I104" i="32"/>
  <c r="H88" i="32"/>
  <c r="H87" i="32"/>
  <c r="H86" i="32"/>
  <c r="H84" i="32"/>
  <c r="H74" i="32"/>
  <c r="H71" i="32"/>
  <c r="I56" i="32"/>
  <c r="K52" i="32"/>
  <c r="H49" i="32"/>
  <c r="H75" i="32" s="1"/>
  <c r="H35" i="32"/>
  <c r="I28" i="32"/>
  <c r="H18" i="32"/>
  <c r="H9" i="32"/>
  <c r="H18" i="16"/>
  <c r="H9" i="16"/>
  <c r="I56" i="9"/>
  <c r="K52" i="9"/>
  <c r="H8" i="9"/>
  <c r="H8" i="32" s="1"/>
  <c r="H18" i="9"/>
  <c r="I23" i="9"/>
  <c r="K52" i="15"/>
  <c r="I23" i="15"/>
  <c r="H8" i="16" l="1"/>
  <c r="L52" i="15"/>
  <c r="I52" i="15" s="1"/>
  <c r="L52" i="9"/>
  <c r="I52" i="9" s="1"/>
  <c r="I61" i="9" s="1"/>
  <c r="I24" i="9"/>
  <c r="L52" i="32"/>
  <c r="I52" i="32" s="1"/>
  <c r="I61" i="32" s="1"/>
  <c r="I66" i="32" s="1"/>
  <c r="I109" i="32"/>
  <c r="I129" i="32"/>
  <c r="I24" i="32"/>
  <c r="I29" i="32" s="1"/>
  <c r="I105" i="32" l="1"/>
  <c r="I125" i="32"/>
  <c r="I34" i="32"/>
  <c r="I78" i="32"/>
  <c r="I36" i="32"/>
  <c r="I35" i="32" l="1"/>
  <c r="H74" i="16"/>
  <c r="H71" i="16"/>
  <c r="I64" i="32" l="1"/>
  <c r="I37" i="32"/>
  <c r="I38" i="32" s="1"/>
  <c r="H74" i="15"/>
  <c r="H71" i="9"/>
  <c r="I44" i="32" l="1"/>
  <c r="I71" i="32"/>
  <c r="I76" i="32"/>
  <c r="I48" i="32"/>
  <c r="I45" i="32"/>
  <c r="I73" i="32"/>
  <c r="I47" i="32"/>
  <c r="I43" i="32"/>
  <c r="I46" i="32"/>
  <c r="I42" i="32"/>
  <c r="I74" i="32"/>
  <c r="I75" i="32" s="1"/>
  <c r="I41" i="32"/>
  <c r="H71" i="15"/>
  <c r="I24" i="15"/>
  <c r="I26" i="15" s="1"/>
  <c r="I49" i="32" l="1"/>
  <c r="I65" i="32" s="1"/>
  <c r="I67" i="32" s="1"/>
  <c r="I126" i="32"/>
  <c r="I79" i="32"/>
  <c r="I106" i="32"/>
  <c r="I72" i="32"/>
  <c r="I77" i="32" s="1"/>
  <c r="I27" i="15"/>
  <c r="I80" i="32" l="1"/>
  <c r="I81" i="32" s="1"/>
  <c r="I107" i="32"/>
  <c r="I127" i="32"/>
  <c r="I29" i="15"/>
  <c r="H88" i="9"/>
  <c r="I93" i="32" l="1"/>
  <c r="I97" i="32" s="1"/>
  <c r="I85" i="32"/>
  <c r="I87" i="32"/>
  <c r="I86" i="32"/>
  <c r="I88" i="32"/>
  <c r="I84" i="32"/>
  <c r="H74" i="9"/>
  <c r="I90" i="32" l="1"/>
  <c r="I96" i="32" s="1"/>
  <c r="I98" i="32" s="1"/>
  <c r="I108" i="32" l="1"/>
  <c r="I110" i="32" s="1"/>
  <c r="I128" i="32"/>
  <c r="I130" i="32" s="1"/>
  <c r="I113" i="32" s="1"/>
  <c r="H115" i="16"/>
  <c r="H88" i="16"/>
  <c r="H87" i="16"/>
  <c r="H86" i="16"/>
  <c r="H49" i="16"/>
  <c r="H75" i="16" s="1"/>
  <c r="H35" i="16"/>
  <c r="H84" i="16" s="1"/>
  <c r="H115" i="15"/>
  <c r="H88" i="15"/>
  <c r="H87" i="15"/>
  <c r="H86" i="15"/>
  <c r="H49" i="15"/>
  <c r="H35" i="15"/>
  <c r="H84" i="15" s="1"/>
  <c r="I61" i="15"/>
  <c r="I66" i="15" s="1"/>
  <c r="H75" i="15" l="1"/>
  <c r="I66" i="16"/>
  <c r="I29" i="16"/>
  <c r="I33" i="16" s="1"/>
  <c r="I114" i="32" l="1"/>
  <c r="I132" i="32" s="1"/>
  <c r="I125" i="16"/>
  <c r="I36" i="16"/>
  <c r="I78" i="16"/>
  <c r="I34" i="16"/>
  <c r="I105" i="16"/>
  <c r="I118" i="32" l="1"/>
  <c r="I119" i="32"/>
  <c r="B137" i="32"/>
  <c r="D137" i="32" s="1"/>
  <c r="H137" i="32" s="1"/>
  <c r="I117" i="32"/>
  <c r="I34" i="15"/>
  <c r="I105" i="15"/>
  <c r="I78" i="15"/>
  <c r="I125" i="15"/>
  <c r="I36" i="15"/>
  <c r="I33" i="15"/>
  <c r="I35" i="16"/>
  <c r="I64" i="16" s="1"/>
  <c r="I115" i="32" l="1"/>
  <c r="F142" i="32"/>
  <c r="F141" i="32"/>
  <c r="I120" i="32"/>
  <c r="I131" i="32" s="1"/>
  <c r="I35" i="15"/>
  <c r="I64" i="15" s="1"/>
  <c r="I37" i="16"/>
  <c r="I38" i="16" s="1"/>
  <c r="I44" i="16" l="1"/>
  <c r="I41" i="16"/>
  <c r="I73" i="16"/>
  <c r="I71" i="16"/>
  <c r="I74" i="16"/>
  <c r="F143" i="32"/>
  <c r="G25" i="7"/>
  <c r="I76" i="16"/>
  <c r="I75" i="16"/>
  <c r="I37" i="15"/>
  <c r="I38" i="15" s="1"/>
  <c r="I71" i="15" s="1"/>
  <c r="I46" i="16"/>
  <c r="I42" i="16"/>
  <c r="I47" i="16"/>
  <c r="I43" i="16"/>
  <c r="I48" i="16"/>
  <c r="I72" i="16" l="1"/>
  <c r="I77" i="16" s="1"/>
  <c r="I74" i="15"/>
  <c r="I75" i="15" s="1"/>
  <c r="I46" i="15"/>
  <c r="I73" i="15"/>
  <c r="I76" i="15"/>
  <c r="I48" i="15"/>
  <c r="I43" i="15"/>
  <c r="I47" i="15"/>
  <c r="I44" i="15"/>
  <c r="I45" i="15"/>
  <c r="I41" i="15"/>
  <c r="I42" i="15"/>
  <c r="I49" i="16"/>
  <c r="H115" i="9"/>
  <c r="H87" i="9"/>
  <c r="H86" i="9"/>
  <c r="H49" i="9"/>
  <c r="H75" i="9" s="1"/>
  <c r="H35" i="9"/>
  <c r="H84" i="9" s="1"/>
  <c r="I65" i="16" l="1"/>
  <c r="I67" i="16" s="1"/>
  <c r="I72" i="15"/>
  <c r="I49" i="15"/>
  <c r="I65" i="15" s="1"/>
  <c r="I67" i="15" s="1"/>
  <c r="I104" i="15"/>
  <c r="I109" i="15" s="1"/>
  <c r="I104" i="16"/>
  <c r="I29" i="9"/>
  <c r="I126" i="16" l="1"/>
  <c r="I106" i="16"/>
  <c r="I79" i="16"/>
  <c r="I106" i="15"/>
  <c r="I77" i="15"/>
  <c r="I80" i="15" s="1"/>
  <c r="I79" i="15"/>
  <c r="I126" i="15"/>
  <c r="I66" i="9"/>
  <c r="I129" i="15"/>
  <c r="I129" i="16"/>
  <c r="I109" i="16"/>
  <c r="I80" i="16"/>
  <c r="I34" i="9"/>
  <c r="I125" i="9"/>
  <c r="I105" i="9"/>
  <c r="I36" i="9"/>
  <c r="I33" i="9"/>
  <c r="I78" i="9"/>
  <c r="I81" i="16" l="1"/>
  <c r="I81" i="15"/>
  <c r="I87" i="15" s="1"/>
  <c r="I127" i="15"/>
  <c r="I107" i="15"/>
  <c r="I127" i="16"/>
  <c r="I107" i="16"/>
  <c r="I104" i="9"/>
  <c r="I109" i="9" s="1"/>
  <c r="I35" i="9"/>
  <c r="I37" i="9" s="1"/>
  <c r="I38" i="9" s="1"/>
  <c r="I87" i="16" l="1"/>
  <c r="I84" i="16"/>
  <c r="I86" i="16"/>
  <c r="I88" i="16"/>
  <c r="I85" i="16"/>
  <c r="I93" i="16"/>
  <c r="I97" i="16" s="1"/>
  <c r="I71" i="9"/>
  <c r="I72" i="9" s="1"/>
  <c r="I74" i="9"/>
  <c r="I75" i="9" s="1"/>
  <c r="I73" i="9"/>
  <c r="I48" i="9"/>
  <c r="I76" i="9"/>
  <c r="I88" i="15"/>
  <c r="I84" i="15"/>
  <c r="I92" i="15"/>
  <c r="I93" i="15" s="1"/>
  <c r="I97" i="15" s="1"/>
  <c r="I86" i="15"/>
  <c r="I85" i="15"/>
  <c r="I64" i="9"/>
  <c r="I129" i="9"/>
  <c r="I45" i="9"/>
  <c r="I43" i="9"/>
  <c r="I46" i="9"/>
  <c r="I42" i="9"/>
  <c r="I41" i="9"/>
  <c r="I44" i="9"/>
  <c r="I47" i="9"/>
  <c r="I90" i="16" l="1"/>
  <c r="I96" i="16" s="1"/>
  <c r="I98" i="16" s="1"/>
  <c r="I90" i="15"/>
  <c r="I96" i="15" s="1"/>
  <c r="I98" i="15" s="1"/>
  <c r="I108" i="15" s="1"/>
  <c r="I110" i="15" s="1"/>
  <c r="I49" i="9"/>
  <c r="I65" i="9" s="1"/>
  <c r="I67" i="9" s="1"/>
  <c r="I128" i="15" l="1"/>
  <c r="I130" i="15" s="1"/>
  <c r="I113" i="15" s="1"/>
  <c r="I128" i="16"/>
  <c r="I130" i="16" s="1"/>
  <c r="I108" i="16"/>
  <c r="I110" i="16" s="1"/>
  <c r="I106" i="9"/>
  <c r="I79" i="9"/>
  <c r="I126" i="9"/>
  <c r="I113" i="16" l="1"/>
  <c r="I114" i="15"/>
  <c r="I132" i="15" s="1"/>
  <c r="I117" i="15" s="1"/>
  <c r="I77" i="9"/>
  <c r="I80" i="9" s="1"/>
  <c r="I81" i="9" s="1"/>
  <c r="I114" i="16" l="1"/>
  <c r="I132" i="16" s="1"/>
  <c r="B137" i="15"/>
  <c r="D137" i="15" s="1"/>
  <c r="H137" i="15" s="1"/>
  <c r="F141" i="15" s="1"/>
  <c r="I118" i="15"/>
  <c r="I119" i="15"/>
  <c r="I127" i="9"/>
  <c r="I107" i="9"/>
  <c r="I85" i="9"/>
  <c r="I84" i="9"/>
  <c r="I92" i="9"/>
  <c r="I88" i="9"/>
  <c r="I87" i="9"/>
  <c r="I86" i="9"/>
  <c r="I119" i="16" l="1"/>
  <c r="I117" i="16"/>
  <c r="I118" i="16"/>
  <c r="B137" i="16"/>
  <c r="D137" i="16" s="1"/>
  <c r="H137" i="16" s="1"/>
  <c r="I115" i="15"/>
  <c r="I120" i="15"/>
  <c r="I131" i="15" s="1"/>
  <c r="F142" i="15"/>
  <c r="F143" i="15" s="1"/>
  <c r="H25" i="7"/>
  <c r="I93" i="9"/>
  <c r="I97" i="9" s="1"/>
  <c r="I90" i="9"/>
  <c r="I96" i="9" s="1"/>
  <c r="F142" i="16" l="1"/>
  <c r="F141" i="16"/>
  <c r="I115" i="16"/>
  <c r="I120" i="16"/>
  <c r="I131" i="16" s="1"/>
  <c r="G23" i="7"/>
  <c r="H23" i="7" s="1"/>
  <c r="I98" i="9"/>
  <c r="I108" i="9" s="1"/>
  <c r="I110" i="9" s="1"/>
  <c r="F143" i="16" l="1"/>
  <c r="G24" i="7"/>
  <c r="H24" i="7" s="1"/>
  <c r="I128" i="9"/>
  <c r="I130" i="9" s="1"/>
  <c r="I113" i="9" s="1"/>
  <c r="I114" i="9" s="1"/>
  <c r="I132" i="9" s="1"/>
  <c r="I119" i="9" s="1"/>
  <c r="I117" i="9" l="1"/>
  <c r="B137" i="9"/>
  <c r="D137" i="9" s="1"/>
  <c r="H137" i="9" s="1"/>
  <c r="F141" i="9" s="1"/>
  <c r="I118" i="9"/>
  <c r="I115" i="9" l="1"/>
  <c r="F142" i="9"/>
  <c r="G22" i="7" s="1"/>
  <c r="I120" i="9"/>
  <c r="I131" i="9" s="1"/>
  <c r="F143" i="9" l="1"/>
  <c r="H22" i="7"/>
  <c r="G26" i="7" l="1"/>
  <c r="H27" i="7" l="1"/>
  <c r="H26" i="7"/>
  <c r="H28" i="7"/>
</calcChain>
</file>

<file path=xl/comments1.xml><?xml version="1.0" encoding="utf-8"?>
<comments xmlns="http://schemas.openxmlformats.org/spreadsheetml/2006/main">
  <authors>
    <author>Rossicléia Ferreira Campos</author>
    <author>Janayra Saraiva Lopes</author>
    <author>Marcelo Hiroshi Yamamoto</author>
  </authors>
  <commentList>
    <comment ref="H33" authorId="0">
      <text>
        <r>
          <rPr>
            <b/>
            <sz val="10"/>
            <color indexed="81"/>
            <rFont val="Times New Roman"/>
            <family val="1"/>
          </rPr>
          <t xml:space="preserve"> </t>
        </r>
        <r>
          <rPr>
            <sz val="10"/>
            <color indexed="81"/>
            <rFont val="Times New Roman"/>
            <family val="1"/>
          </rPr>
          <t>1/12meses = 0,0833=8,33%;
Cotação de  8,33% sobre o valor do Módulo 1 - Composição da remuneração, conforme Anexo XII da IN 5/17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4" authorId="1">
      <text>
        <r>
          <rPr>
            <sz val="9"/>
            <color indexed="81"/>
            <rFont val="Tahoma"/>
            <family val="2"/>
          </rPr>
          <t>Cotação de Férias e Adicional de Férias do profissional titular, 
conforme item 14 do ANEXO XII da IN 5/17.</t>
        </r>
      </text>
    </comment>
    <comment ref="H43" authorId="0">
      <text>
        <r>
          <rPr>
            <sz val="10"/>
            <color indexed="81"/>
            <rFont val="Times New Roman"/>
            <family val="1"/>
          </rPr>
          <t xml:space="preserve">RAT x FAP máximo = 3% x 2 = 6%
Fator Acidentário (FAP) vária entre 0,5 a 2 pontos.
Risco de Acidente de Trabalho (RAT) vária entre 1% e 3%.
* A empresa deverá enviar o FAP WEB para comprovação. </t>
        </r>
      </text>
    </comment>
    <comment ref="H71" authorId="0">
      <text>
        <r>
          <rPr>
            <b/>
            <sz val="10"/>
            <color indexed="81"/>
            <rFont val="Times New Roman"/>
            <family val="1"/>
          </rPr>
          <t>AVISO PRÉVIO INDENIZADO:</t>
        </r>
        <r>
          <rPr>
            <sz val="10"/>
            <color indexed="81"/>
            <rFont val="Times New Roman"/>
            <family val="1"/>
          </rPr>
          <t xml:space="preserve">
</t>
        </r>
        <r>
          <rPr>
            <b/>
            <sz val="10"/>
            <color indexed="81"/>
            <rFont val="Times New Roman"/>
            <family val="1"/>
          </rPr>
          <t>(1/12 x 5%) x 100 - ((1/12 x 0,7242) x 100 = 6,04% ao mês aplicado sobre a remuneração</t>
        </r>
        <r>
          <rPr>
            <sz val="10"/>
            <color indexed="81"/>
            <rFont val="Times New Roman"/>
            <family val="1"/>
          </rPr>
          <t xml:space="preserve">
1= O aviso prévio integral da remuneração, com desligamento imediato do empregado.
12= rateio da remuneração em 12 meses.
</t>
        </r>
        <r>
          <rPr>
            <b/>
            <u/>
            <sz val="10"/>
            <color indexed="81"/>
            <rFont val="Times New Roman"/>
            <family val="1"/>
          </rPr>
          <t xml:space="preserve">72,42% cumprem aviso prévio (variável)= dado estatítico do caderno técnico de vigilância para Acre - Pode variar conforme realidade da empresa.
</t>
        </r>
        <r>
          <rPr>
            <sz val="10"/>
            <color indexed="81"/>
            <rFont val="Times New Roman"/>
            <family val="1"/>
          </rPr>
          <t>Aplicado sobre Remuneração + Férias + 13° salário</t>
        </r>
      </text>
    </comment>
    <comment ref="H73" authorId="0">
      <text>
        <r>
          <rPr>
            <b/>
            <sz val="10"/>
            <color indexed="81"/>
            <rFont val="Times New Roman"/>
            <family val="1"/>
          </rPr>
          <t xml:space="preserve">MULTA DO FGTS E CONTRIBUIÇÃO SOCIAL SOBRE AVISO PRÉVIO INDENIZADO
</t>
        </r>
        <r>
          <rPr>
            <sz val="10"/>
            <color indexed="81"/>
            <rFont val="Times New Roman"/>
            <family val="1"/>
          </rPr>
          <t>5% Conforme  item 14 do ANEXO XII da IN 5/17 
Aplicado sobre Remuneração + Férias + 13° salário
No entanto, com a entrada em vigor da Lei nº 13.932, de 11 de dezembro de 2019, a partir de 1º de janeiro de 2020, fica extinto os 10% de contribuição social sobre o FGTS, o valor mensal a ser provisionado, passa a ser apenas de 40% sobre o valor mensal do FGTS, portotanto, o percentual fica em 4%.</t>
        </r>
      </text>
    </comment>
    <comment ref="H74" authorId="1">
      <text>
        <r>
          <rPr>
            <b/>
            <sz val="10"/>
            <color indexed="81"/>
            <rFont val="Times New Roman"/>
            <family val="1"/>
          </rPr>
          <t xml:space="preserve">AVISO PRÉVIO TRABALHADO
1° ano de contrato (cheio): (((7/30)/12)*100 = 1,944% ao mês
</t>
        </r>
        <r>
          <rPr>
            <sz val="10"/>
            <color indexed="81"/>
            <rFont val="Times New Roman"/>
            <family val="1"/>
          </rPr>
          <t xml:space="preserve">7 dias em 30 rateado em 12 meses multiplicado pela estatística cheia, nesse caso, 100%. 
Aplicado sobre Remuneração + Férias + 13° salário
Na Prorrogação será readequado. </t>
        </r>
      </text>
    </comment>
    <comment ref="H75" authorId="2">
      <text>
        <r>
          <rPr>
            <b/>
            <sz val="9"/>
            <color indexed="81"/>
            <rFont val="Segoe UI"/>
            <family val="2"/>
          </rPr>
          <t xml:space="preserve">Total dos encargos do Submódulo 2.2 x Aviso Prévio Trabalhado Cheio </t>
        </r>
      </text>
    </comment>
    <comment ref="H76" authorId="0">
      <text>
        <r>
          <rPr>
            <b/>
            <sz val="10"/>
            <color indexed="81"/>
            <rFont val="Times New Roman"/>
            <family val="1"/>
          </rPr>
          <t xml:space="preserve">MULTA DO FGTS E CONTRIBUIÇÃO SOCIAL SOBRE O AVISO PRÉVIO TRABALHADO
</t>
        </r>
        <r>
          <rPr>
            <sz val="10"/>
            <color indexed="81"/>
            <rFont val="Times New Roman"/>
            <family val="1"/>
          </rPr>
          <t>5% Conforme  item 14 do ANEXO XII da IN 5/17 
Aplicado sobre Remuneração + Férias + 13° salário
No entanto, com a entrada em vigor da Lei nº 13.932, de 11 de dezembro de 2019, a partir de 1º de janeiro de 2020, fica extinto os 10% de contribuição social sobre o FGTS, o valor mensal a ser provisionado, passa a ser apenas de 40% sobre o valor mensal do FGTS, portotanto, o percentual fica em 4%.</t>
        </r>
      </text>
    </comment>
    <comment ref="H84" authorId="0">
      <text>
        <r>
          <rPr>
            <b/>
            <sz val="10"/>
            <color indexed="81"/>
            <rFont val="Times New Roman"/>
            <family val="1"/>
          </rPr>
          <t xml:space="preserve">13° + Férias e Adicional de Férias = 8,33% + 12,10% = 20,43% / 12 = 1,70
</t>
        </r>
        <r>
          <rPr>
            <sz val="10"/>
            <color indexed="81"/>
            <rFont val="Times New Roman"/>
            <family val="1"/>
          </rPr>
          <t xml:space="preserve">O folguista gera um custo correspondente a 1/12 avós das férias, 1/12 de adicional de férias e 1/12 de 13° salário, que irá usufruir quando completado o seu periodo aquisitivo. O folguista pecorre, durante um ano, diversos contratos e a cada substituição de férias de um titular é provisionado 1/12 avos para suas férias, 1/12 de adicional e 1/12 de13° salário. Em outras palavras, findo o prazo de 12 meses de substituições (cada uma de 1 mês) a empresa terá provisionado o valor integral férias, adicional de férias e 13° salário do seu empregado - folguista. </t>
        </r>
      </text>
    </comment>
    <comment ref="H85" authorId="0">
      <text>
        <r>
          <rPr>
            <b/>
            <sz val="10"/>
            <color indexed="81"/>
            <rFont val="Times New Roman"/>
            <family val="1"/>
          </rPr>
          <t xml:space="preserve">Ausências Legais
</t>
        </r>
        <r>
          <rPr>
            <sz val="10"/>
            <color indexed="81"/>
            <rFont val="Times New Roman"/>
            <family val="1"/>
          </rPr>
          <t xml:space="preserve">((2/30/12) x 100 = 0,556%
</t>
        </r>
        <r>
          <rPr>
            <b/>
            <u/>
            <sz val="10"/>
            <color indexed="81"/>
            <rFont val="Times New Roman"/>
            <family val="1"/>
          </rPr>
          <t>2 = Dados estatiticos do IBGE estima que cada empregado falta em média dois dias por ano (variavel conforme realidade da empresa).</t>
        </r>
        <r>
          <rPr>
            <sz val="10"/>
            <color indexed="81"/>
            <rFont val="Times New Roman"/>
            <family val="1"/>
          </rPr>
          <t xml:space="preserve">
30 = Impacto sobre o mês
12 = Impacto diluído ao longo de 12 meses.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86" authorId="0">
      <text>
        <r>
          <rPr>
            <b/>
            <sz val="10"/>
            <color indexed="81"/>
            <rFont val="Times New Roman"/>
            <family val="1"/>
          </rPr>
          <t xml:space="preserve">Licença Paternidade:
</t>
        </r>
        <r>
          <rPr>
            <sz val="10"/>
            <color indexed="81"/>
            <rFont val="Times New Roman"/>
            <family val="1"/>
          </rPr>
          <t xml:space="preserve">((5/30/12) x 0,02 = 0,028%
5 dias de ausência
30 = Impacto sobre o mês
12 = Impacto diluido ao longo de 12 meses
</t>
        </r>
        <r>
          <rPr>
            <b/>
            <sz val="10"/>
            <color indexed="81"/>
            <rFont val="Times New Roman"/>
            <family val="1"/>
          </rPr>
          <t>0,02 ou 2% = estimativa do IBGE que 2% dos trabalhadores são pais no periodo de um ano.</t>
        </r>
        <r>
          <rPr>
            <sz val="10"/>
            <color indexed="81"/>
            <rFont val="Times New Roman"/>
            <family val="1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87" authorId="0">
      <text>
        <r>
          <rPr>
            <b/>
            <sz val="9"/>
            <color indexed="81"/>
            <rFont val="Segoe UI"/>
            <family val="2"/>
          </rPr>
          <t>Ausência por Acidente de Trabalho: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Times New Roman"/>
            <family val="1"/>
          </rPr>
          <t xml:space="preserve">((15/30/12) x 0,08 x 100 = 0,333%
15 dias de ausência cobertos pelo empregador, após 15 dias, INSS.
30 = impacto sobre o mês
/12 = impacto diluído ao longo de 12 meses.
</t>
        </r>
        <r>
          <rPr>
            <b/>
            <u/>
            <sz val="10"/>
            <color indexed="81"/>
            <rFont val="Times New Roman"/>
            <family val="1"/>
          </rPr>
          <t xml:space="preserve">0,08 (8%) - Segundo IBGE 8% dos empregados (nivel) nacional sofrem acidente durante o ano (variavel conforme realidade da empresa). </t>
        </r>
      </text>
    </comment>
    <comment ref="H88" authorId="0">
      <text>
        <r>
          <rPr>
            <b/>
            <sz val="10"/>
            <color indexed="81"/>
            <rFont val="Times New Roman"/>
            <family val="1"/>
          </rPr>
          <t>Afastamento Maternidade
0,121*0,03*((4/12)) = 0,12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Times New Roman"/>
            <family val="1"/>
          </rPr>
          <t xml:space="preserve">(Férias = 9,075% + Adicional de Férias= 3,025%) = 12,10% * 100 = 0,1210%
</t>
        </r>
        <r>
          <rPr>
            <b/>
            <u/>
            <sz val="10"/>
            <color indexed="81"/>
            <rFont val="Times New Roman"/>
            <family val="1"/>
          </rPr>
          <t>0,03 = 3% ocorrência da licença maternidade ao ano (variável) (conforme realidade da empresa).</t>
        </r>
        <r>
          <rPr>
            <sz val="10"/>
            <color indexed="81"/>
            <rFont val="Times New Roman"/>
            <family val="1"/>
          </rPr>
          <t xml:space="preserve">
(4/12) = custo provisionado pelo empregador para cobrir a reposição do substituto relativamente ás suas férias. </t>
        </r>
      </text>
    </comment>
    <comment ref="B113" authorId="1">
      <text>
        <r>
          <rPr>
            <sz val="10"/>
            <color indexed="81"/>
            <rFont val="Times New Roman"/>
            <family val="1"/>
          </rPr>
          <t>BASE DE CÁLCULO DOS CUSTOS INDIRETOS  = (Soma dos Módulos 1, 2, 3, 4 e 5)</t>
        </r>
      </text>
    </comment>
    <comment ref="B114" authorId="1">
      <text>
        <r>
          <rPr>
            <sz val="10"/>
            <color indexed="81"/>
            <rFont val="Times New Roman"/>
            <family val="1"/>
          </rPr>
          <t>BASE DE CÁLCULO DO LUCRO = (Soma dos Módulos 1, 2, 3, 4 e 5) + Custos Indiretos</t>
        </r>
      </text>
    </comment>
    <comment ref="H115" authorId="0">
      <text>
        <r>
          <rPr>
            <sz val="10"/>
            <color indexed="81"/>
            <rFont val="Times New Roman"/>
            <family val="1"/>
          </rPr>
          <t>Os tributos são calculados sobre o FATURAMENTO. 
COMO? Somam-se os tributos (por ex.: PIS, COFINS e ISS = 8,65) subtrai-se de 100 obtendo-se 9,135/100 = 0,9135, que representa os tributos a serem pagos sem que o faturamento seja alterado. 
Trata-se de fórmula circular denominada "</t>
        </r>
        <r>
          <rPr>
            <b/>
            <sz val="10"/>
            <color indexed="81"/>
            <rFont val="Times New Roman"/>
            <family val="1"/>
          </rPr>
          <t>CÁLCULO POR DENTRO</t>
        </r>
        <r>
          <rPr>
            <sz val="10"/>
            <color indexed="81"/>
            <rFont val="Times New Roman"/>
            <family val="1"/>
          </rPr>
          <t xml:space="preserve">" 
</t>
        </r>
        <r>
          <rPr>
            <b/>
            <sz val="10"/>
            <color indexed="81"/>
            <rFont val="Times New Roman"/>
            <family val="1"/>
          </rPr>
          <t>FÓRMULA:</t>
        </r>
        <r>
          <rPr>
            <sz val="10"/>
            <color indexed="81"/>
            <rFont val="Times New Roman"/>
            <family val="1"/>
          </rPr>
          <t xml:space="preserve"> 100-8,65/100 = 0,935
</t>
        </r>
        <r>
          <rPr>
            <b/>
            <sz val="10"/>
            <color indexed="81"/>
            <rFont val="Times New Roman"/>
            <family val="1"/>
          </rPr>
          <t>0,935 / FATURAMENTO =</t>
        </r>
        <r>
          <rPr>
            <sz val="10"/>
            <color indexed="81"/>
            <rFont val="Times New Roman"/>
            <family val="1"/>
          </rPr>
          <t xml:space="preserve"> VALOR SOBRE O QUAL SERÁ CALCULADO O PIS, A COFINS E O ISS</t>
        </r>
      </text>
    </comment>
  </commentList>
</comments>
</file>

<file path=xl/comments2.xml><?xml version="1.0" encoding="utf-8"?>
<comments xmlns="http://schemas.openxmlformats.org/spreadsheetml/2006/main">
  <authors>
    <author>Marcelo Hiroshi Yamamoto</author>
    <author>Rossicléia Ferreira Campos</author>
    <author>Janayra Saraiva Lopes</author>
  </authors>
  <commentList>
    <comment ref="I26" authorId="0">
      <text>
        <r>
          <rPr>
            <b/>
            <sz val="8"/>
            <color indexed="81"/>
            <rFont val="Times New Roman"/>
            <family val="1"/>
          </rPr>
          <t>Cálculo do Adicional Noturno (Caderno Técnico de Vigilância do Acre):</t>
        </r>
        <r>
          <rPr>
            <sz val="8"/>
            <color indexed="81"/>
            <rFont val="Times New Roman"/>
            <family val="1"/>
          </rPr>
          <t xml:space="preserve">
Base de Cálculo: Salário base + Adicional de Periculosidade.
Proporção de Horas Noturnas: Respeitadas as jornadas de trabalho e o disposto no art. 59-A e parágrafo segundo do art. 73, ambos da Consolidação das Leis do Trabalho – CLT, alterada pela Lei n° 13.467, de 13 de julho de 2017.
“Art. 59-A. Em exceção ao disposto no art. 59 desta Consolidação, é facultado às partes, mediante acordo individual escrito, convenção coletiva ou acordo coletivo de trabalho, estabelecer horário de trabalho de doze horas seguidas por trinta e seis horas ininterruptas de descanso, observados ou indenizados os intervalos para repouso e alimentação.
Parágrafo único. A remuneração mensal pactuada pelo horário previsto no caput deste artigo abrange os pagamentos devidos pelo descanso semanal remunerado e pelo descanso em feriados, e serão considerados compensados os feriados e as prorrogações de trabalho noturno, quando houver, de que tratam o art. 70 e o § 5º do art. 73 desta Consolidação.
(...)
Art. 73. Salvo nos casos de revezamento semanal ou quinzenal, o trabalho noturno terá remuneração superior a do diurno e, para esse efeito, sua remuneração terá um acréscimo de 20 % (vinte por cento), pelo menos, sobre a hora diurna.
§ 1º A hora do trabalho noturno será computada como de 52 minutos e 30 segundos.
§ 2º Considera-se noturno, para os efeitos deste artigo, o trabalho executado entre as 22 horas de um dia e as 5 horas do dia seguinte. ”
Desta forma, a proporção de horas noturnas foi calculada em percentual proporcional à jornada integral, dividindo-se o número de horas sobre as quais incide o adicional noturno, sendo esta equivalente 7 horas, pelo número total de horas da jornada de trabalho, 12 horas. Significa que em </t>
        </r>
        <r>
          <rPr>
            <b/>
            <u/>
            <sz val="8"/>
            <color indexed="81"/>
            <rFont val="Times New Roman"/>
            <family val="1"/>
          </rPr>
          <t>7/12 horas, ou seja, em 58,33% da escala de 12 horas, é devido o pagamento de adicional noturno.</t>
        </r>
        <r>
          <rPr>
            <sz val="8"/>
            <color indexed="81"/>
            <rFont val="Times New Roman"/>
            <family val="1"/>
          </rPr>
          <t xml:space="preserve">
Percentual: Como não há previsão em CCT utiliza-se o disposto no art. 73 da CLT</t>
        </r>
        <r>
          <rPr>
            <sz val="8"/>
            <color indexed="81"/>
            <rFont val="Segoe UI"/>
            <family val="2"/>
          </rPr>
          <t xml:space="preserve">
O valor de adicional noturno: Base de Cálculo x Proporção x Percentual.
</t>
        </r>
      </text>
    </comment>
    <comment ref="I27" authorId="0">
      <text>
        <r>
          <rPr>
            <b/>
            <sz val="7.5"/>
            <color indexed="81"/>
            <rFont val="Segoe UI"/>
            <family val="2"/>
          </rPr>
          <t>Cálculo da Hora Noturna Reduzida (Caderno Técnico de Vigilância do Acre):</t>
        </r>
        <r>
          <rPr>
            <sz val="7.5"/>
            <color indexed="81"/>
            <rFont val="Segoe UI"/>
            <family val="2"/>
          </rPr>
          <t xml:space="preserve">
Base de Cálculo: Salário base + Adicional de Periculosidade.
Proporção de Horas Noturnas Reduzidas: A título de pagamento adicional computa-se o pagamento de 1 hora noturna a mais, ou seja 52 min e 30 s.
Foi calculada a proporção da redução da hora noturna em percentual (60 minutos / 52,5 minutos = 114%) e aplicada tal porcentagem à duração da jornada noturna, normalmente, de 7 horas. </t>
        </r>
        <r>
          <rPr>
            <b/>
            <sz val="7.5"/>
            <color indexed="81"/>
            <rFont val="Segoe UI"/>
            <family val="2"/>
          </rPr>
          <t>Desta forma, haverá obrigatoriedade de pagamento adicional de 1/12 horas, ou seja, 8,33% da escala de 12 horas.</t>
        </r>
        <r>
          <rPr>
            <sz val="7.5"/>
            <color indexed="81"/>
            <rFont val="Segoe UI"/>
            <family val="2"/>
          </rPr>
          <t xml:space="preserve">
Alíquota: incidência do adicional noturno sobre o valor da hora → 1 + alíquota do adicional noturno.
O valor de adicional noturno: Base de Cálculo x Proporção x Alíquota.
</t>
        </r>
      </text>
    </comment>
    <comment ref="H33" authorId="1">
      <text>
        <r>
          <rPr>
            <b/>
            <sz val="10"/>
            <color indexed="81"/>
            <rFont val="Times New Roman"/>
            <family val="1"/>
          </rPr>
          <t xml:space="preserve"> </t>
        </r>
        <r>
          <rPr>
            <sz val="10"/>
            <color indexed="81"/>
            <rFont val="Times New Roman"/>
            <family val="1"/>
          </rPr>
          <t>1/12meses = 0,0833=8,33%;
Cotação de  8,33% sobre o valor do Módulo 1 - Composição da remuneração, conforme Anexo XII da IN 5/17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4" authorId="2">
      <text>
        <r>
          <rPr>
            <sz val="9"/>
            <color indexed="81"/>
            <rFont val="Tahoma"/>
            <family val="2"/>
          </rPr>
          <t xml:space="preserve">Cotação de Férias e Adicional de Férias do profissional titular, 
conforme item 14 do ANEXO XII da IN 5/17.
   </t>
        </r>
      </text>
    </comment>
    <comment ref="H43" authorId="1">
      <text>
        <r>
          <rPr>
            <sz val="10"/>
            <color indexed="81"/>
            <rFont val="Times New Roman"/>
            <family val="1"/>
          </rPr>
          <t xml:space="preserve">RAT x FAP máximo = 3% x 2 = 6%
Fator Acidentário (FAP) vária entre 0,5 a 2 pontos.
Risco de Acidente de Trabalho (RAT) vária entre 1% e 3%.
* A empresa deverá enviar o FAP WEB para comprovação. </t>
        </r>
      </text>
    </comment>
    <comment ref="H71" authorId="1">
      <text>
        <r>
          <rPr>
            <b/>
            <sz val="8"/>
            <color indexed="81"/>
            <rFont val="Times New Roman"/>
            <family val="1"/>
          </rPr>
          <t>AVISO PRÉVIO INDENIZADO:</t>
        </r>
        <r>
          <rPr>
            <sz val="8"/>
            <color indexed="81"/>
            <rFont val="Times New Roman"/>
            <family val="1"/>
          </rPr>
          <t xml:space="preserve">
</t>
        </r>
        <r>
          <rPr>
            <b/>
            <sz val="8"/>
            <color indexed="81"/>
            <rFont val="Times New Roman"/>
            <family val="1"/>
          </rPr>
          <t>(1/12 x 0,7242) x 100 = 6,04% ao mês aplicado sobre a remuneração</t>
        </r>
        <r>
          <rPr>
            <sz val="8"/>
            <color indexed="81"/>
            <rFont val="Times New Roman"/>
            <family val="1"/>
          </rPr>
          <t xml:space="preserve">
1= O aviso prévio integral da remuneração, com desligamento imediato do empregado.
12= rateio da remuneração em 12 meses.
</t>
        </r>
        <r>
          <rPr>
            <b/>
            <u/>
            <sz val="8"/>
            <color indexed="81"/>
            <rFont val="Times New Roman"/>
            <family val="1"/>
          </rPr>
          <t>72,42% cumprem aviso prévio (variável)= dado estatítico do caderno técnico de vigilância para Acre - Pode variar conforme realidade da empresa</t>
        </r>
        <r>
          <rPr>
            <sz val="8"/>
            <color indexed="81"/>
            <rFont val="Times New Roman"/>
            <family val="1"/>
          </rPr>
          <t xml:space="preserve">
Aplicado sobre Remuneração + Férias + 13° salário</t>
        </r>
      </text>
    </comment>
    <comment ref="H73" authorId="1">
      <text>
        <r>
          <rPr>
            <b/>
            <sz val="8"/>
            <color indexed="81"/>
            <rFont val="Times New Roman"/>
            <family val="1"/>
          </rPr>
          <t xml:space="preserve">MULTA DO FGTS E CONTRIBUIÇÃO SOCIAL SOBRE AVISO PRÉVIO INDENIZADO
</t>
        </r>
        <r>
          <rPr>
            <sz val="8"/>
            <color indexed="81"/>
            <rFont val="Times New Roman"/>
            <family val="1"/>
          </rPr>
          <t>MULTA DO FGTS E CONTRIBUIÇÃO SOCIAL SOBRE AVISO PRÉVIO INDENIZADO
5% Conforme  item 14 do ANEXO XII da IN 5/17 
Aplicado sobre Remuneração + Férias + 13° salário
No entanto, com a entrada em vigor da Lei nº 13.932, de 11 de dezembro de 2019, a partir de 1º de janeiro de 2020, fica extinto os 10% de contribuição social sobre o FGTS, o valor mensal a ser provisionado, passa a ser apenas de 40% sobre o valor mensal do FGTS, portotanto, o percentual fica em 4%.</t>
        </r>
      </text>
    </comment>
    <comment ref="H74" authorId="2">
      <text>
        <r>
          <rPr>
            <b/>
            <sz val="8"/>
            <color indexed="81"/>
            <rFont val="Times New Roman"/>
            <family val="1"/>
          </rPr>
          <t>AVISO PRÉVIO TRABALHADO</t>
        </r>
        <r>
          <rPr>
            <sz val="8"/>
            <color indexed="81"/>
            <rFont val="Times New Roman"/>
            <family val="1"/>
          </rPr>
          <t xml:space="preserve">
</t>
        </r>
        <r>
          <rPr>
            <b/>
            <sz val="8"/>
            <color indexed="81"/>
            <rFont val="Times New Roman"/>
            <family val="1"/>
          </rPr>
          <t>1° ano de contrato (cheio): (((7/30)/12)*100 = 1,944% ao mês</t>
        </r>
        <r>
          <rPr>
            <sz val="8"/>
            <color indexed="81"/>
            <rFont val="Times New Roman"/>
            <family val="1"/>
          </rPr>
          <t xml:space="preserve">
7 dias em 30 rateado em 12 meses multiplicado pela estatística cheia, nesse caso, 100%. 
Aplicado sobre Remuneração + Férias + 13° salário
Na Prorrogação será readequado. </t>
        </r>
      </text>
    </comment>
    <comment ref="H75" authorId="0">
      <text>
        <r>
          <rPr>
            <sz val="8"/>
            <color indexed="81"/>
            <rFont val="Segoe UI"/>
            <family val="2"/>
          </rPr>
          <t>T</t>
        </r>
        <r>
          <rPr>
            <b/>
            <sz val="8"/>
            <color indexed="81"/>
            <rFont val="Segoe UI"/>
            <family val="2"/>
          </rPr>
          <t xml:space="preserve">otal dos encargos do Submódulo 2.2 x Aviso Prévio Trabalhado Cheio </t>
        </r>
      </text>
    </comment>
    <comment ref="H76" authorId="1">
      <text>
        <r>
          <rPr>
            <b/>
            <sz val="8"/>
            <color indexed="81"/>
            <rFont val="Times New Roman"/>
            <family val="1"/>
          </rPr>
          <t xml:space="preserve">Multa do FGTS sobre o aviso-prévio trabalhado: </t>
        </r>
        <r>
          <rPr>
            <sz val="8"/>
            <color indexed="81"/>
            <rFont val="Times New Roman"/>
            <family val="1"/>
          </rPr>
          <t xml:space="preserve">
MULTA DO FGTS E CONTRIBUIÇÃO SOCIAL SOBRE AVISO PRÉVIO INDENIZADO
5% Conforme  item 14 do ANEXO XII da IN 5/17 
Aplicado sobre Remuneração + Férias + 13° salário
No entanto, com a entrada em vigor da Lei nº 13.932, de 11 de dezembro de 2019, a partir de 1º de janeiro de 2020, fica extinto os 10% de contribuição social sobre o FGTS, o valor mensal a ser provisionado, passa a ser apenas de 40% sobre o valor mensal do FGTS, portotanto, o percentual fica em 4%.</t>
        </r>
      </text>
    </comment>
    <comment ref="H84" authorId="1">
      <text>
        <r>
          <rPr>
            <b/>
            <sz val="8"/>
            <color indexed="81"/>
            <rFont val="Times New Roman"/>
            <family val="1"/>
          </rPr>
          <t>13° + Férias e Adicional de Férias = 8,33% + 12,10% = 20,43% / 12 = 1,70%</t>
        </r>
        <r>
          <rPr>
            <sz val="8"/>
            <color indexed="81"/>
            <rFont val="Times New Roman"/>
            <family val="1"/>
          </rPr>
          <t xml:space="preserve">
O folguista gera um custo correspondente a 1/12 avós das férias, 1/12 de adicional de férias e 1/12 de 13° salário, que irá usufruir quando completado o seu periodo aquisitivo. O folguista pecorre, durante um ano, diversos contratos e a cada substituição de férias de um titular é provisionado 1/12 avos para suas férias, 1/12 de adicional e 1/12 de13° salário. Em outras palavras, findo o prazo de 12 meses de substituições (cada uma de 1 mês) a empresa terá provisionado o valor integral férias, adicional de férias e 13° salário do seu empregado - folguista. </t>
        </r>
      </text>
    </comment>
    <comment ref="H85" authorId="1">
      <text>
        <r>
          <rPr>
            <b/>
            <sz val="10"/>
            <color indexed="81"/>
            <rFont val="Times New Roman"/>
            <family val="1"/>
          </rPr>
          <t>Ausências Legais</t>
        </r>
        <r>
          <rPr>
            <sz val="10"/>
            <color indexed="81"/>
            <rFont val="Times New Roman"/>
            <family val="1"/>
          </rPr>
          <t xml:space="preserve">
((2/30/12) x 100 = 0,556%
</t>
        </r>
        <r>
          <rPr>
            <b/>
            <u/>
            <sz val="10"/>
            <color indexed="81"/>
            <rFont val="Times New Roman"/>
            <family val="1"/>
          </rPr>
          <t>2 = Dados estatiticos do IBGE estima que cada empregado falta em média dois dias por ano (variavel conforme realidade da empresa).</t>
        </r>
        <r>
          <rPr>
            <sz val="10"/>
            <color indexed="81"/>
            <rFont val="Times New Roman"/>
            <family val="1"/>
          </rPr>
          <t xml:space="preserve">
30 = Impacto sobre o mês
12 = Impacto diluído ao longo de 12 meses.</t>
        </r>
        <r>
          <rPr>
            <sz val="8"/>
            <color indexed="81"/>
            <rFont val="Arial"/>
            <family val="2"/>
          </rPr>
          <t xml:space="preserve">
</t>
        </r>
      </text>
    </comment>
    <comment ref="H86" authorId="1">
      <text>
        <r>
          <rPr>
            <b/>
            <sz val="10"/>
            <color indexed="81"/>
            <rFont val="Times New Roman"/>
            <family val="1"/>
          </rPr>
          <t xml:space="preserve">Licença Paternidade:
</t>
        </r>
        <r>
          <rPr>
            <sz val="10"/>
            <color indexed="81"/>
            <rFont val="Times New Roman"/>
            <family val="1"/>
          </rPr>
          <t xml:space="preserve">((5/30/12) x 0,02 = 0,028%
5 dias de ausência
30 = Impacto sobre o mês
12 = Impacto diluido ao longo de 12 meses
</t>
        </r>
        <r>
          <rPr>
            <b/>
            <u/>
            <sz val="10"/>
            <color indexed="81"/>
            <rFont val="Times New Roman"/>
            <family val="1"/>
          </rPr>
          <t>0,02 ou 2% = estimativa do IBGE que 2% dos trabalhadores são pais no periodo de um ano. (variavel conforme realidade da empresa).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87" authorId="1">
      <text>
        <r>
          <rPr>
            <b/>
            <sz val="9"/>
            <color indexed="81"/>
            <rFont val="Segoe UI"/>
            <family val="2"/>
          </rPr>
          <t>Ausência por Acidente de Trabalho: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Times New Roman"/>
            <family val="1"/>
          </rPr>
          <t xml:space="preserve">((15/30/12) x 0,08 x 100 = 0,333%
15 dias de ausência cobertos pelo empregador, após 15 dias, INSS.
30 = impacto sobre o mês
/12 = impacto diluído ao longo de 12 meses.
</t>
        </r>
        <r>
          <rPr>
            <b/>
            <u/>
            <sz val="10"/>
            <color indexed="81"/>
            <rFont val="Times New Roman"/>
            <family val="1"/>
          </rPr>
          <t>0,08 (8%) - Segundo IBGE 8% dos empregados (nivel) nacional sofrem acidente durante o ano. (variavel conforme realidade da empresa).</t>
        </r>
      </text>
    </comment>
    <comment ref="H88" authorId="1">
      <text>
        <r>
          <rPr>
            <b/>
            <sz val="10"/>
            <color indexed="81"/>
            <rFont val="Times New Roman"/>
            <family val="1"/>
          </rPr>
          <t>Afastamento Maternidade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Times New Roman"/>
            <family val="1"/>
          </rPr>
          <t xml:space="preserve">(Férias = 9,075% + Adicional de Férias= 3,025%) = 12,10% * 100 = 0,1210%
</t>
        </r>
        <r>
          <rPr>
            <b/>
            <u/>
            <sz val="10"/>
            <color indexed="81"/>
            <rFont val="Times New Roman"/>
            <family val="1"/>
          </rPr>
          <t>0,03 = 3% ocorrência da licença maternidade ao ano. (variavel conforme realidade da empresa).</t>
        </r>
        <r>
          <rPr>
            <sz val="10"/>
            <color indexed="81"/>
            <rFont val="Times New Roman"/>
            <family val="1"/>
          </rPr>
          <t xml:space="preserve">
(4/12) = custo provisionado pelo empregador para cobrir a reposição do substituto relativamente ás suas férias. </t>
        </r>
      </text>
    </comment>
    <comment ref="B113" authorId="2">
      <text>
        <r>
          <rPr>
            <sz val="10"/>
            <color indexed="81"/>
            <rFont val="Times New Roman"/>
            <family val="1"/>
          </rPr>
          <t>BASE DE CÁLCULO DOS CUSTOS INDIRETOS  = (Soma dos Módulos 1, 2, 3, 4 e 5)</t>
        </r>
      </text>
    </comment>
    <comment ref="B114" authorId="2">
      <text>
        <r>
          <rPr>
            <sz val="10"/>
            <color indexed="81"/>
            <rFont val="Times New Roman"/>
            <family val="1"/>
          </rPr>
          <t>BASE DE CÁLCULO DO LUCRO = (Soma dos Módulos 1, 2, 3, 4 e 5) + Custos Indiretos</t>
        </r>
      </text>
    </comment>
    <comment ref="H115" authorId="1">
      <text>
        <r>
          <rPr>
            <sz val="10"/>
            <color indexed="81"/>
            <rFont val="Times New Roman"/>
            <family val="1"/>
          </rPr>
          <t>Os tributos são calculados sobre o FATURAMENTO. 
COMO? Somam-se os tributos (por ex.: PIS, COFINS e ISS = 8,65) subtrai-se de 100 obtendo-se 9,135/100 = 0,9135, que representa os tributos a serem pagos sem que o faturamento seja alterado. 
Trata-se de fórmula circular denominada "CÁLCULO POR DENTRO" 
FÓRMULA: 100-8,65/100 = 0,935
                 0,935 / FATURAMENTO = VALOR SOBRE O QUAL SERÁ CALCULADO O PIS, A COFINS E O ISS</t>
        </r>
      </text>
    </comment>
  </commentList>
</comments>
</file>

<file path=xl/comments3.xml><?xml version="1.0" encoding="utf-8"?>
<comments xmlns="http://schemas.openxmlformats.org/spreadsheetml/2006/main">
  <authors>
    <author>Rossicléia Ferreira Campos</author>
    <author>Janayra Saraiva Lopes</author>
    <author>Marcelo Hiroshi Yamamoto</author>
  </authors>
  <commentList>
    <comment ref="H33" authorId="0">
      <text>
        <r>
          <rPr>
            <b/>
            <sz val="10"/>
            <color indexed="81"/>
            <rFont val="Times New Roman"/>
            <family val="1"/>
          </rPr>
          <t xml:space="preserve"> </t>
        </r>
        <r>
          <rPr>
            <sz val="10"/>
            <color indexed="81"/>
            <rFont val="Times New Roman"/>
            <family val="1"/>
          </rPr>
          <t>1/12meses = 0,0833=8,33%;
Cotação de  8,33% sobre o valor do Módulo 1 - Composição da remuneração, conforme Anexo XII da IN 5/17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4" authorId="1">
      <text>
        <r>
          <rPr>
            <sz val="9"/>
            <color indexed="81"/>
            <rFont val="Tahoma"/>
            <family val="2"/>
          </rPr>
          <t>Cotação de Férias e Adicional de Férias do profissional titular, 
conforme item 14 do ANEXO XII da IN 5/17.</t>
        </r>
      </text>
    </comment>
    <comment ref="H43" authorId="0">
      <text>
        <r>
          <rPr>
            <sz val="10"/>
            <color indexed="81"/>
            <rFont val="Times New Roman"/>
            <family val="1"/>
          </rPr>
          <t xml:space="preserve">RAT x FAP máximo = 3% x 2 = 6%
Fator Acidentário (FAP) vária entre 0,5 a 2 pontos.
Risco de Acidente de Trabalho (RAT) vária entre 1% e 3%.
* A empresa deverá enviar o FAP WEB para comprovação. </t>
        </r>
      </text>
    </comment>
    <comment ref="H71" authorId="0">
      <text>
        <r>
          <rPr>
            <b/>
            <sz val="10"/>
            <color indexed="81"/>
            <rFont val="Times New Roman"/>
            <family val="1"/>
          </rPr>
          <t xml:space="preserve">AVISO PRÉVIO INDENIZADO:
(1/12 x 0,7242) x 100 = 6,04% ao mês aplicado sobre a remuneração
</t>
        </r>
        <r>
          <rPr>
            <sz val="10"/>
            <color indexed="81"/>
            <rFont val="Times New Roman"/>
            <family val="1"/>
          </rPr>
          <t>1= O aviso prévio integral da remuneração, com desligamento imediato do empregado.
12= rateio da remuneração em 12 meses</t>
        </r>
        <r>
          <rPr>
            <b/>
            <sz val="10"/>
            <color indexed="81"/>
            <rFont val="Times New Roman"/>
            <family val="1"/>
          </rPr>
          <t xml:space="preserve">.
72,42% cumprem aviso prévio (variável)= dado estatítico do caderno técnico de vigilância para Acre - Pode variar conforme realidade da empresa.
</t>
        </r>
        <r>
          <rPr>
            <sz val="10"/>
            <color indexed="81"/>
            <rFont val="Times New Roman"/>
            <family val="1"/>
          </rPr>
          <t>Aplicado sobre Remuneração + Férias + 13° salário</t>
        </r>
      </text>
    </comment>
    <comment ref="H73" authorId="0">
      <text>
        <r>
          <rPr>
            <b/>
            <sz val="10"/>
            <color indexed="81"/>
            <rFont val="Times New Roman"/>
            <family val="1"/>
          </rPr>
          <t xml:space="preserve">MULTA DO FGTS E CONTRIBUIÇÃO SOCIAL SOBRE AVISO PRÉVIO INDENIZADO
</t>
        </r>
        <r>
          <rPr>
            <sz val="10"/>
            <color indexed="81"/>
            <rFont val="Times New Roman"/>
            <family val="1"/>
          </rPr>
          <t>5% Conforme  item 14 do ANEXO XII da IN 5/17 
Aplicado sobre Remuneração + Férias + 13° salário
No entanto, com a entrada em vigor da Lei nº 13.932, de 11 de dezembro de 2019, a partir de 1º de janeiro de 2020, fica extinto os 10% de contribuição social sobre o FGTS, o valor mensal a ser provisionado, passa a ser apenas de 40% sobre o valor mensal do FGTS, portotanto, o percentual fica em 4%.</t>
        </r>
      </text>
    </comment>
    <comment ref="H74" authorId="1">
      <text>
        <r>
          <rPr>
            <b/>
            <sz val="10"/>
            <color indexed="81"/>
            <rFont val="Times New Roman"/>
            <family val="1"/>
          </rPr>
          <t xml:space="preserve">AVISO PRÉVIO TRABALHADO
1° ano de contrato (cheio): (((7/30)/12)*100 = 1,944% ao mês
</t>
        </r>
        <r>
          <rPr>
            <sz val="10"/>
            <color indexed="81"/>
            <rFont val="Times New Roman"/>
            <family val="1"/>
          </rPr>
          <t>7 dias em 30 rateado em 12 meses multiplicado pela estatística cheia, nesse caso, 100%. 
Aplicado sobre Remuneração + Férias + 13° salário
Na Prorrogação será readequado. 
Aplicado sobre Remuneração + Férias + 13° salário</t>
        </r>
      </text>
    </comment>
    <comment ref="H75" authorId="2">
      <text>
        <r>
          <rPr>
            <b/>
            <sz val="9"/>
            <color indexed="81"/>
            <rFont val="Segoe UI"/>
            <family val="2"/>
          </rPr>
          <t xml:space="preserve">Total dos encargos do Submódulo 2.2 x Aviso Prévio Trabalhado Cheio </t>
        </r>
      </text>
    </comment>
    <comment ref="H76" authorId="0">
      <text>
        <r>
          <rPr>
            <b/>
            <sz val="10"/>
            <color indexed="81"/>
            <rFont val="Times New Roman"/>
            <family val="1"/>
          </rPr>
          <t xml:space="preserve">Multa do FGTS sobre o aviso-prévio trabalhado: 
</t>
        </r>
        <r>
          <rPr>
            <sz val="10"/>
            <color indexed="81"/>
            <rFont val="Times New Roman"/>
            <family val="1"/>
          </rPr>
          <t>5% Conforme  item 14 do ANEXO XII da IN 5/17 
Aplicado sobre Remuneração + Férias + 13° salário
No entanto, com a entrada em vigor da Lei nº 13.932, de 11 de dezembro de 2019, a partir de 1º de janeiro de 2020, fica extinto os 10% de contribuição social sobre o FGTS, o valor mensal a ser provisionado, passa a ser apenas de 40% sobre o valor mensal do FGTS, portotanto, o percentual fica em 4%.</t>
        </r>
      </text>
    </comment>
    <comment ref="H84" authorId="0">
      <text>
        <r>
          <rPr>
            <b/>
            <sz val="10"/>
            <color indexed="81"/>
            <rFont val="Times New Roman"/>
            <family val="1"/>
          </rPr>
          <t xml:space="preserve">Férias
</t>
        </r>
        <r>
          <rPr>
            <sz val="10"/>
            <color indexed="81"/>
            <rFont val="Times New Roman"/>
            <family val="1"/>
          </rPr>
          <t xml:space="preserve">13° + Férias e Adicional de Férias = 8,33% + 12,10% = 20,43% / 12 = 1,70%
O folguista gera um custo correspondente a 1/12 avós das férias, 1/12 de adicional de férias e 1/12 de 13° salário, que irá usufruir quando completado o seu periodo aquisitivo. O folguista pecorre, durante um ano, diversos contratos e a cada substituição de férias de um titular é provisionado 1/12 avos para suas férias, 1/12 de adicional e 1/12 de13° salário. Em outras palavras, findo o prazo de 12 meses de substituições (cada uma de 1 mês) a empresa terá provisionado o valor integral férias, adicional de férias e 13° salário do seu empregado - folguista. </t>
        </r>
      </text>
    </comment>
    <comment ref="H85" authorId="0">
      <text>
        <r>
          <rPr>
            <b/>
            <sz val="10"/>
            <color indexed="81"/>
            <rFont val="Times New Roman"/>
            <family val="1"/>
          </rPr>
          <t xml:space="preserve">Ausências Legais
((2/30/12) x 100 = 0,556%
</t>
        </r>
        <r>
          <rPr>
            <sz val="10"/>
            <color indexed="81"/>
            <rFont val="Times New Roman"/>
            <family val="1"/>
          </rPr>
          <t>2 = Dados estatiticos do IBGE estima que cada empregado falta em média dois dias por ano.  (variavel conforme realidade da empresa).
30 = Impacto sobre o mês
12 = Impacto diluído ao longo de 12 meses.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86" authorId="0">
      <text>
        <r>
          <rPr>
            <b/>
            <sz val="10"/>
            <color indexed="81"/>
            <rFont val="Times New Roman"/>
            <family val="1"/>
          </rPr>
          <t xml:space="preserve">Licença Paternidade:
</t>
        </r>
        <r>
          <rPr>
            <sz val="10"/>
            <color indexed="81"/>
            <rFont val="Times New Roman"/>
            <family val="1"/>
          </rPr>
          <t>((5/30/12) x 0,02 = 0,028%
5 dias de ausência
30 = Impacto sobre o mês
12 = Impacto diluido ao longo de 12 meses
0,02 ou 2% = estimativa do IBGE que 2% dos trabalhadores são pais no periodo de um ano.   (variavel conforme realidade da empresa).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87" authorId="0">
      <text>
        <r>
          <rPr>
            <b/>
            <sz val="9"/>
            <color indexed="81"/>
            <rFont val="Segoe UI"/>
            <family val="2"/>
          </rPr>
          <t>Ausência por Acidente de Trabalho: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Times New Roman"/>
            <family val="1"/>
          </rPr>
          <t>((15/30/12) x 0,08 x 100 = 0,333%
15 dias de ausência cobertos pelo empregador, após 15 dias, INSS.
30 = impacto sobre o mês
/12 = impacto diluído ao longo de 12 meses.
0,08 (8%) - Segundo IBGE 8% dos empregados (nivel) nacional sofrem acidente durante o ano.  (variavel conforme realidade da empresa).</t>
        </r>
      </text>
    </comment>
    <comment ref="H88" authorId="0">
      <text>
        <r>
          <rPr>
            <b/>
            <sz val="10"/>
            <color indexed="81"/>
            <rFont val="Times New Roman"/>
            <family val="1"/>
          </rPr>
          <t>Afastamento Maternidade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Times New Roman"/>
            <family val="1"/>
          </rPr>
          <t xml:space="preserve">(Férias = 9,075% + Adicional de Férias= 3,025%) = 12,10% * 100 = 0,1210%
0,03 = 3% ocorrência da licença maternidade ao ano (variável).  (variavel conforme realidade da empresa).
(4/12) = custo provisionado pelo empregador para cobrir a reposição do substituto relativamente ás suas férias. </t>
        </r>
      </text>
    </comment>
    <comment ref="B113" authorId="1">
      <text>
        <r>
          <rPr>
            <sz val="10"/>
            <color indexed="81"/>
            <rFont val="Times New Roman"/>
            <family val="1"/>
          </rPr>
          <t>BASE DE CÁLCULO DOS CUSTOS INDIRETOS  = (Soma dos Módulos 1, 2, 3, 4 e 5)</t>
        </r>
      </text>
    </comment>
    <comment ref="B114" authorId="1">
      <text>
        <r>
          <rPr>
            <sz val="10"/>
            <color indexed="81"/>
            <rFont val="Times New Roman"/>
            <family val="1"/>
          </rPr>
          <t>BASE DE CÁLCULO DO LUCRO = (Soma dos Módulos 1, 2, 3, 4 e 5) + Custos Indiretos</t>
        </r>
      </text>
    </comment>
    <comment ref="H115" authorId="0">
      <text>
        <r>
          <rPr>
            <sz val="10"/>
            <color indexed="81"/>
            <rFont val="Times New Roman"/>
            <family val="1"/>
          </rPr>
          <t>Os tributos são calculados sobre o FATURAMENTO. 
COMO? Somam-se os tributos (por ex.: PIS, COFINS e ISS = 8,65) subtrai-se de 100 obtendo-se 9,135/100 = 0,9135, que representa os tributos a serem pagos sem que o faturamento seja alterado. 
Trata-se de fórmula circular denominada "CÁLCULO POR DENTRO" 
FÓRMULA: 100-8,65/100 = 0,935
                 0,935 / FATURAMENTO = VALOR SOBRE O QUAL SERÁ CALCULADO O PIS, A COFINS E O ISS</t>
        </r>
      </text>
    </comment>
  </commentList>
</comments>
</file>

<file path=xl/comments4.xml><?xml version="1.0" encoding="utf-8"?>
<comments xmlns="http://schemas.openxmlformats.org/spreadsheetml/2006/main">
  <authors>
    <author>Rossicléia Ferreira Campos</author>
    <author>Janayra Saraiva Lopes</author>
    <author>Marcelo Hiroshi Yamamoto</author>
  </authors>
  <commentList>
    <comment ref="H33" authorId="0">
      <text>
        <r>
          <rPr>
            <b/>
            <sz val="10"/>
            <color indexed="81"/>
            <rFont val="Times New Roman"/>
            <family val="1"/>
          </rPr>
          <t xml:space="preserve"> </t>
        </r>
        <r>
          <rPr>
            <sz val="10"/>
            <color indexed="81"/>
            <rFont val="Times New Roman"/>
            <family val="1"/>
          </rPr>
          <t>1/12meses = 0,0833=8,33%;
Cotação de  8,33% sobre o valor do Módulo 1 - Composição da remuneração, conforme Anexo XII da IN 5/17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4" authorId="1">
      <text>
        <r>
          <rPr>
            <sz val="9"/>
            <color indexed="81"/>
            <rFont val="Tahoma"/>
            <family val="2"/>
          </rPr>
          <t>Cotação de Férias e Adicional de Férias do profissional titular, 
conforme item 14 do ANEXO XII da IN 5/17.</t>
        </r>
      </text>
    </comment>
    <comment ref="H43" authorId="0">
      <text>
        <r>
          <rPr>
            <sz val="10"/>
            <color indexed="81"/>
            <rFont val="Times New Roman"/>
            <family val="1"/>
          </rPr>
          <t xml:space="preserve">RAT x FAP máximo = 3% x 2 = 6%
Fator Acidentário (FAP) vária entre 0,5 a 2 pontos.
Risco de Acidente de Trabalho (RAT) vária entre 1% e 3%.
* A empresa deverá enviar o FAP WEB para comprovação. </t>
        </r>
      </text>
    </comment>
    <comment ref="H71" authorId="0">
      <text>
        <r>
          <rPr>
            <b/>
            <sz val="10"/>
            <color indexed="81"/>
            <rFont val="Times New Roman"/>
            <family val="1"/>
          </rPr>
          <t xml:space="preserve">AVISO PRÉVIO INDENIZADO:
(1/12 x 0,7242) x 100 = 6,04% ao mês aplicado sobre a remuneração
</t>
        </r>
        <r>
          <rPr>
            <sz val="10"/>
            <color indexed="81"/>
            <rFont val="Times New Roman"/>
            <family val="1"/>
          </rPr>
          <t>1= O aviso prévio integral da remuneração, com desligamento imediato do empregado.
12= rateio da remuneração em 12 meses</t>
        </r>
        <r>
          <rPr>
            <b/>
            <sz val="10"/>
            <color indexed="81"/>
            <rFont val="Times New Roman"/>
            <family val="1"/>
          </rPr>
          <t xml:space="preserve">.
72,42% cumprem aviso prévio (variável)= dado estatítico do caderno técnico de vigilância para Acre - Pode variar conforme realidade da empresa.
</t>
        </r>
        <r>
          <rPr>
            <sz val="10"/>
            <color indexed="81"/>
            <rFont val="Times New Roman"/>
            <family val="1"/>
          </rPr>
          <t>Aplicado sobre Remuneração + Férias + 13° salário</t>
        </r>
      </text>
    </comment>
    <comment ref="H73" authorId="0">
      <text>
        <r>
          <rPr>
            <b/>
            <sz val="10"/>
            <color indexed="81"/>
            <rFont val="Times New Roman"/>
            <family val="1"/>
          </rPr>
          <t xml:space="preserve">MULTA DO FGTS E CONTRIBUIÇÃO SOCIAL SOBRE AVISO PRÉVIO INDENIZADO
</t>
        </r>
        <r>
          <rPr>
            <sz val="10"/>
            <color indexed="81"/>
            <rFont val="Times New Roman"/>
            <family val="1"/>
          </rPr>
          <t>5% Conforme  item 14 do ANEXO XII da IN 5/17 
Aplicado sobre Remuneração + Férias + 13° salário
No entanto, com a entrada em vigor da Lei nº 13.932, de 11 de dezembro de 2019, a partir de 1º de janeiro de 2020, fica extinto os 10% de contribuição social sobre o FGTS, o valor mensal a ser provisionado, passa a ser apenas de 40% sobre o valor mensal do FGTS, portotanto, o percentual fica em 4%.</t>
        </r>
      </text>
    </comment>
    <comment ref="H74" authorId="1">
      <text>
        <r>
          <rPr>
            <b/>
            <sz val="10"/>
            <color indexed="81"/>
            <rFont val="Times New Roman"/>
            <family val="1"/>
          </rPr>
          <t xml:space="preserve">AVISO PRÉVIO TRABALHADO
1° ano de contrato (cheio): (((7/30)/12)*100 = 1,944% ao mês
</t>
        </r>
        <r>
          <rPr>
            <sz val="10"/>
            <color indexed="81"/>
            <rFont val="Times New Roman"/>
            <family val="1"/>
          </rPr>
          <t>7 dias em 30 rateado em 12 meses multiplicado pela estatística cheia, nesse caso, 100%. 
Aplicado sobre Remuneração + Férias + 13° salário
Na Prorrogação será readequado. 
Aplicado sobre Remuneração + Férias + 13° salário</t>
        </r>
      </text>
    </comment>
    <comment ref="H75" authorId="2">
      <text>
        <r>
          <rPr>
            <b/>
            <sz val="9"/>
            <color indexed="81"/>
            <rFont val="Segoe UI"/>
            <family val="2"/>
          </rPr>
          <t xml:space="preserve">Total dos encargos do Submódulo 2.2 x Aviso Prévio Trabalhado Cheio </t>
        </r>
      </text>
    </comment>
    <comment ref="H76" authorId="0">
      <text>
        <r>
          <rPr>
            <b/>
            <sz val="10"/>
            <color indexed="81"/>
            <rFont val="Times New Roman"/>
            <family val="1"/>
          </rPr>
          <t xml:space="preserve">Multa do FGTS sobre o aviso-prévio trabalhado: 
</t>
        </r>
        <r>
          <rPr>
            <sz val="10"/>
            <color indexed="81"/>
            <rFont val="Times New Roman"/>
            <family val="1"/>
          </rPr>
          <t>5% Conforme  item 14 do ANEXO XII da IN 5/17 
Aplicado sobre Remuneração + Férias + 13° salário
No entanto, com a entrada em vigor da Lei nº 13.932, de 11 de dezembro de 2019, a partir de 1º de janeiro de 2020, fica extinto os 10% de contribuição social sobre o FGTS, o valor mensal a ser provisionado, passa a ser apenas de 40% sobre o valor mensal do FGTS, portotanto, o percentual fica em 4%.</t>
        </r>
      </text>
    </comment>
    <comment ref="H84" authorId="0">
      <text>
        <r>
          <rPr>
            <b/>
            <sz val="10"/>
            <color indexed="81"/>
            <rFont val="Times New Roman"/>
            <family val="1"/>
          </rPr>
          <t xml:space="preserve">Férias
</t>
        </r>
        <r>
          <rPr>
            <sz val="10"/>
            <color indexed="81"/>
            <rFont val="Times New Roman"/>
            <family val="1"/>
          </rPr>
          <t xml:space="preserve">13° + Férias e Adicional de Férias = 8,33% + 12,10% = 20,43% / 12 = 1,70%
O folguista gera um custo correspondente a 1/12 avós das férias, 1/12 de adicional de férias e 1/12 de 13° salário, que irá usufruir quando completado o seu periodo aquisitivo. O folguista pecorre, durante um ano, diversos contratos e a cada substituição de férias de um titular é provisionado 1/12 avos para suas férias, 1/12 de adicional e 1/12 de13° salário. Em outras palavras, findo o prazo de 12 meses de substituições (cada uma de 1 mês) a empresa terá provisionado o valor integral férias, adicional de férias e 13° salário do seu empregado - folguista. </t>
        </r>
      </text>
    </comment>
    <comment ref="H85" authorId="0">
      <text>
        <r>
          <rPr>
            <b/>
            <sz val="10"/>
            <color indexed="81"/>
            <rFont val="Times New Roman"/>
            <family val="1"/>
          </rPr>
          <t xml:space="preserve">Ausências Legais
((2/30/12) x 100 = 0,556%
</t>
        </r>
        <r>
          <rPr>
            <sz val="10"/>
            <color indexed="81"/>
            <rFont val="Times New Roman"/>
            <family val="1"/>
          </rPr>
          <t>2 = Dados estatiticos do IBGE estima que cada empregado falta em média dois dias por ano.  (variavel conforme realidade da empresa).
30 = Impacto sobre o mês
12 = Impacto diluído ao longo de 12 meses.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86" authorId="0">
      <text>
        <r>
          <rPr>
            <b/>
            <sz val="10"/>
            <color indexed="81"/>
            <rFont val="Times New Roman"/>
            <family val="1"/>
          </rPr>
          <t xml:space="preserve">Licença Paternidade:
</t>
        </r>
        <r>
          <rPr>
            <sz val="10"/>
            <color indexed="81"/>
            <rFont val="Times New Roman"/>
            <family val="1"/>
          </rPr>
          <t>((5/30/12) x 0,02 = 0,028%
5 dias de ausência
30 = Impacto sobre o mês
12 = Impacto diluido ao longo de 12 meses
0,02 ou 2% = estimativa do IBGE que 2% dos trabalhadores são pais no periodo de um ano.   (variavel conforme realidade da empresa).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87" authorId="0">
      <text>
        <r>
          <rPr>
            <b/>
            <sz val="9"/>
            <color indexed="81"/>
            <rFont val="Segoe UI"/>
            <family val="2"/>
          </rPr>
          <t>Ausência por Acidente de Trabalho: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Times New Roman"/>
            <family val="1"/>
          </rPr>
          <t>((15/30/12) x 0,08 x 100 = 0,333%
15 dias de ausência cobertos pelo empregador, após 15 dias, INSS.
30 = impacto sobre o mês
/12 = impacto diluído ao longo de 12 meses.
0,08 (8%) - Segundo IBGE 8% dos empregados (nivel) nacional sofrem acidente durante o ano.  (variavel conforme realidade da empresa).</t>
        </r>
      </text>
    </comment>
    <comment ref="H88" authorId="0">
      <text>
        <r>
          <rPr>
            <b/>
            <sz val="10"/>
            <color indexed="81"/>
            <rFont val="Times New Roman"/>
            <family val="1"/>
          </rPr>
          <t>Afastamento Maternidade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Times New Roman"/>
            <family val="1"/>
          </rPr>
          <t xml:space="preserve">(Férias = 9,075% + Adicional de Férias= 3,025%) = 12,10% * 100 = 0,1210%
0,03 = 3% ocorrência da licença maternidade ao ano (variável).  (variavel conforme realidade da empresa).
(4/12) = custo provisionado pelo empregador para cobrir a reposição do substituto relativamente ás suas férias. </t>
        </r>
      </text>
    </comment>
    <comment ref="B113" authorId="1">
      <text>
        <r>
          <rPr>
            <sz val="10"/>
            <color indexed="81"/>
            <rFont val="Times New Roman"/>
            <family val="1"/>
          </rPr>
          <t>BASE DE CÁLCULO DOS CUSTOS INDIRETOS  = (Soma dos Módulos 1, 2, 3, 4 e 5)</t>
        </r>
      </text>
    </comment>
    <comment ref="B114" authorId="1">
      <text>
        <r>
          <rPr>
            <sz val="10"/>
            <color indexed="81"/>
            <rFont val="Times New Roman"/>
            <family val="1"/>
          </rPr>
          <t>BASE DE CÁLCULO DO LUCRO = (Soma dos Módulos 1, 2, 3, 4 e 5) + Custos Indiretos</t>
        </r>
      </text>
    </comment>
    <comment ref="H115" authorId="0">
      <text>
        <r>
          <rPr>
            <sz val="10"/>
            <color indexed="81"/>
            <rFont val="Times New Roman"/>
            <family val="1"/>
          </rPr>
          <t>Os tributos são calculados sobre o FATURAMENTO. 
COMO? Somam-se os tributos (por ex.: PIS, COFINS e ISS = 8,65) subtrai-se de 100 obtendo-se 9,135/100 = 0,9135, que representa os tributos a serem pagos sem que o faturamento seja alterado. 
Trata-se de fórmula circular denominada "CÁLCULO POR DENTRO" 
FÓRMULA: 100-8,65/100 = 0,935
                 0,935 / FATURAMENTO = VALOR SOBRE O QUAL SERÁ CALCULADO O PIS, A COFINS E O ISS</t>
        </r>
      </text>
    </comment>
  </commentList>
</comments>
</file>

<file path=xl/sharedStrings.xml><?xml version="1.0" encoding="utf-8"?>
<sst xmlns="http://schemas.openxmlformats.org/spreadsheetml/2006/main" count="969" uniqueCount="199">
  <si>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</si>
  <si>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</si>
  <si>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</si>
  <si>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</si>
  <si>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</si>
  <si>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C</t>
  </si>
  <si>
    <t>Ano do acordo coletivo, convenção coletiva ou sentença normativa em dissídio coletivo</t>
  </si>
  <si>
    <t>D</t>
  </si>
  <si>
    <t>Número de meses de execução contratual</t>
  </si>
  <si>
    <t>Identificação do serviço</t>
  </si>
  <si>
    <t>Dados complementares para composição dos custos referente à mão de obra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</si>
  <si>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</si>
  <si>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</si>
  <si>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</si>
  <si>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</si>
  <si>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</si>
  <si>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MÓDULO 1: COMPOSIÇÃO DA REMUNERAÇÃO</t>
  </si>
  <si>
    <t>Composição da remuneração</t>
  </si>
  <si>
    <t>Percentual (%)</t>
  </si>
  <si>
    <t>Valor (R$)</t>
  </si>
  <si>
    <t>Adicional noturno</t>
  </si>
  <si>
    <t>E</t>
  </si>
  <si>
    <t>Adicional de hora noturna reduzida</t>
  </si>
  <si>
    <t>F</t>
  </si>
  <si>
    <t>G</t>
  </si>
  <si>
    <t>Outros (especificar)</t>
  </si>
  <si>
    <t>TOTAL</t>
  </si>
  <si>
    <t>MÓDULO 2 : ENCARGOS E BENEFÍCIOS ANUAIS, MENSAIS E DIÁRIOS</t>
  </si>
  <si>
    <t>2.1</t>
  </si>
  <si>
    <t>13º (décimo terceiro) salário, férias e adicional de férias</t>
  </si>
  <si>
    <t>Total</t>
  </si>
  <si>
    <t>2.2</t>
  </si>
  <si>
    <t>GPS, FGTS e Outras Contribuições</t>
  </si>
  <si>
    <t>INSS</t>
  </si>
  <si>
    <t>Salário educação</t>
  </si>
  <si>
    <t>SESC ou SESI</t>
  </si>
  <si>
    <t>SENAI ou SENAC</t>
  </si>
  <si>
    <t>SEBRAE</t>
  </si>
  <si>
    <t>INCRA</t>
  </si>
  <si>
    <t>H</t>
  </si>
  <si>
    <t>FGTS</t>
  </si>
  <si>
    <t>2.3</t>
  </si>
  <si>
    <t>Benefícios mensais e diários</t>
  </si>
  <si>
    <t>Transporte (22 dias úteis)</t>
  </si>
  <si>
    <t>A.1) Valor da passagem do transporte coletivo no município de prestação dos serviços:</t>
  </si>
  <si>
    <t>-</t>
  </si>
  <si>
    <t>A.3) Percentual do desconto no Salário Base:</t>
  </si>
  <si>
    <t>Auxílio-Refeição/Alimentação</t>
  </si>
  <si>
    <t>Assistência Médica e Familiar</t>
  </si>
  <si>
    <t>Quadro-resumo - Módulo 2 - Encargos e Benefícios Anuais, Mensais e Diários</t>
  </si>
  <si>
    <t>Módulo 2 - Encargos e Benefícios Anuais, Mensais e Diários</t>
  </si>
  <si>
    <t>MÓDULO 3 - PROVISÃO PARA RESCISÃO</t>
  </si>
  <si>
    <t>Incidência do FGTS sobre o aviso-prévio indenizado</t>
  </si>
  <si>
    <t>Multa sobre o FGTS e contribuições sociais sobre o aviso-prévio indenizado</t>
  </si>
  <si>
    <t>Incidência dos encargos do submódulo 2.2 sobre o aviso-prévio trabalhado</t>
  </si>
  <si>
    <t>Multa sobre o FGTS e contribuições sociais sobre o aviso-prévio trabalhado</t>
  </si>
  <si>
    <t>MÓDULO 4 - CUSTO DE REPOSIÇÃO DO PROFISSIONAL AUSENTE</t>
  </si>
  <si>
    <t>4.1</t>
  </si>
  <si>
    <t>Ausências Legais</t>
  </si>
  <si>
    <t>4.2</t>
  </si>
  <si>
    <t>Intrajornada</t>
  </si>
  <si>
    <t>Intervalo para repouso ou alimentação</t>
  </si>
  <si>
    <t>Quadro-resumo - Módulo 4 - Custo de Reposição do Profissional Ausente</t>
  </si>
  <si>
    <t>Módulo 4 - Custo de Reposição do Profissional Ausente</t>
  </si>
  <si>
    <t>MÓDULO 5: INSUMOS DIVERSOS</t>
  </si>
  <si>
    <t>Insumos diversos</t>
  </si>
  <si>
    <t>Uniformes</t>
  </si>
  <si>
    <r>
      <t>Equipamentos</t>
    </r>
    <r>
      <rPr>
        <b/>
        <sz val="10"/>
        <color rgb="FFFF0000"/>
        <rFont val="Arial"/>
        <family val="2"/>
        <charset val="1"/>
      </rPr>
      <t/>
    </r>
  </si>
  <si>
    <t>MÓDULO 6 - CUSTOS INDIRETOS, TRIBUTOS E LUCRO</t>
  </si>
  <si>
    <t>Custos indiretos, tributos e lucro</t>
  </si>
  <si>
    <t>Custos Indiretos (Percentual da empresa)</t>
  </si>
  <si>
    <t>Lucro (Percentual da empresa)</t>
  </si>
  <si>
    <t>Tributos</t>
  </si>
  <si>
    <t>Mão de obra vinculada à execução contratual (valor por empregado)</t>
  </si>
  <si>
    <t>Módulo 1 - Composição da remuneração</t>
  </si>
  <si>
    <t>Módulo 3 - Provisão para Rescisão</t>
  </si>
  <si>
    <t>Módulo 5 - Insumos diversos</t>
  </si>
  <si>
    <t>Subtotal (A + B + C + D + E)</t>
  </si>
  <si>
    <t>Módulo 6 - Custos indiretos, tributose lucro</t>
  </si>
  <si>
    <t>Valor total por empregado</t>
  </si>
  <si>
    <t>Valor Proposto por Empregado (B)</t>
  </si>
  <si>
    <t>Qtde. de Postos (E)</t>
  </si>
  <si>
    <t>Descrição</t>
  </si>
  <si>
    <t>(PCMSO, PPRA,
CIPA e LTCAT)</t>
  </si>
  <si>
    <t>Kit Primeiros Socorros</t>
  </si>
  <si>
    <t>ITEM</t>
  </si>
  <si>
    <t>Adicional de periculosidade (incide sobre o salário base)</t>
  </si>
  <si>
    <t>Adicional de insalubridade (incide sobre o salário base)</t>
  </si>
  <si>
    <t>13º (décimo terceiro) salário</t>
  </si>
  <si>
    <t>Férias e Adicional de Férias</t>
  </si>
  <si>
    <t>ANEXO VII-D – Mão-de-obra</t>
  </si>
  <si>
    <t>Aviso-prévio indenizado</t>
  </si>
  <si>
    <t>Aviso-previo trabalhado</t>
  </si>
  <si>
    <t>a) Cofins</t>
  </si>
  <si>
    <t>b) PIS</t>
  </si>
  <si>
    <t>a) ISS</t>
  </si>
  <si>
    <t xml:space="preserve">Percentual </t>
  </si>
  <si>
    <t>Provisão para recisão</t>
  </si>
  <si>
    <t>2. QUADRO-RESUMO DO CUSTO POR EMPREGADO</t>
  </si>
  <si>
    <t>3. QUADRO DEMONSTRATIVO DO VALOR GLOBAL DA PROPOSTA</t>
  </si>
  <si>
    <t>Tipo de Serviço (A)</t>
  </si>
  <si>
    <t>Qtde. de Empregados por Posto ( C )</t>
  </si>
  <si>
    <t>Valor Proposto por Posto (D) = (BxC)</t>
  </si>
  <si>
    <t>Valor Total do Serviço (F) = (DxE)</t>
  </si>
  <si>
    <t>4. QUADRO DEMONSTRATIVO DO VALOR GLOBAL DA PROPOSTA</t>
  </si>
  <si>
    <t>DESCRIÇÃO</t>
  </si>
  <si>
    <t>VALOR (R$)</t>
  </si>
  <si>
    <t>Valor proposto por unidade de medida *</t>
  </si>
  <si>
    <t>Posto de Trabalho - Mensal</t>
  </si>
  <si>
    <t>Valor mensal do serviço</t>
  </si>
  <si>
    <t>A.2) Quantidade de passagens por mês por empregado:</t>
  </si>
  <si>
    <t>C.1    Tributos (especificar)</t>
  </si>
  <si>
    <r>
      <t>Seguro acidente de trabalho (</t>
    </r>
    <r>
      <rPr>
        <sz val="11"/>
        <color rgb="FF000000"/>
        <rFont val="Times New Roman"/>
        <family val="1"/>
      </rPr>
      <t>RAT x FAP)</t>
    </r>
  </si>
  <si>
    <t>BASE DE CÁLUCO PARA O MÓDULO 2.2</t>
  </si>
  <si>
    <t>MÓDULO 1</t>
  </si>
  <si>
    <t>MÓDULO 2.1</t>
  </si>
  <si>
    <t>SUBMÓDULO 2.2 - ENCARGOS PREVIDENCIÁRIOS (GPS), FUNFO DE GARANTIA POR TEMPO DE
 SERVIÇO E OUTRAS CONTRIBUIÇÕES</t>
  </si>
  <si>
    <t>SUBMÓDULO 2.3 - BENEFÍCIOS MENSAIS E DIÁRIOS</t>
  </si>
  <si>
    <t>BASE DE CÁLCULO PARA O MÓDULO 4 = MÓDULO 1 + MÓDULO 2 + MÓDULO 3</t>
  </si>
  <si>
    <t>MÓDULO 2</t>
  </si>
  <si>
    <t>MÓDULO 3</t>
  </si>
  <si>
    <t>BASE DE CÁLCULO PARA O MÓDULO 6 = MÓDULO 1 + MÓDULO 2 = MÓDULO 3
 + MÓDULO 4 + MÓDULO 5</t>
  </si>
  <si>
    <t>MÓDULO 4</t>
  </si>
  <si>
    <t>MÓDULO 5</t>
  </si>
  <si>
    <r>
      <rPr>
        <b/>
        <sz val="11"/>
        <rFont val="Times New Roman"/>
        <family val="1"/>
      </rPr>
      <t xml:space="preserve">PLANILHA DE CUSTOS E FORMAÇÃO DE PREÇOS - </t>
    </r>
    <r>
      <rPr>
        <sz val="11"/>
        <rFont val="Times New Roman"/>
        <family val="1"/>
      </rPr>
      <t xml:space="preserve">(Redação dada pela Instrução Normativa nº 05, de 25 de maio de 2017, com modificações pertinentes  trazidas pela Instrução Normativa nº 07/2018).
</t>
    </r>
  </si>
  <si>
    <t>Razão Social da Empresa</t>
  </si>
  <si>
    <t>Assinatura do Representante Legal da Empres</t>
  </si>
  <si>
    <t>Local e data</t>
  </si>
  <si>
    <r>
      <t xml:space="preserve">17. </t>
    </r>
    <r>
      <rPr>
        <sz val="10"/>
        <rFont val="Calibri"/>
        <family val="2"/>
      </rPr>
      <t>Declaramos que arcaremos com o ônus decorrente de eventual equívoco no dimensionamento dos quantitativos desta proposta, inclusive quanto aos custos variáveis decorrentes de fatores futuros e incertos, tais como os valores providos com o quantitativo de vale transporte, devendo complementá-los, caso o previsto inicialmente nesta proposta não seja satisfatório para o atendimento ao objeto da licitação, exceto quando ocorrer algum dos eventos arrolados nos incisos do §1° do artigo 57 da Lei n° 8.666, de 1993.</t>
    </r>
  </si>
  <si>
    <r>
      <t xml:space="preserve">16. </t>
    </r>
    <r>
      <rPr>
        <sz val="10"/>
        <rFont val="Calibri"/>
        <family val="2"/>
      </rPr>
      <t>Declaramos que temos ciência das condições estabelecidas neste Edital e seus Anexos, bem como da obrigatoriedade do cumprimento das disposições nela contidas, assumindo o compromisso de executar os serviços nos seus termos, bem como fornecer todos os materiais, equipamentos, ferramentas e utensílios necessários, em quantidades e qualidades adequadas à perfeita execução contratual, promovendo, quando requerido, sua substituição;</t>
    </r>
  </si>
  <si>
    <r>
      <t xml:space="preserve">15. Declaramos que esta proposta considera em seu inteiro teor as determinações </t>
    </r>
    <r>
      <rPr>
        <sz val="10"/>
        <rFont val="Calibri"/>
        <family val="2"/>
      </rPr>
      <t>dos sindicatos, acordos coletivos, convenções coletivas ou sentenças normativas que regem as categorias profissionais que executarão o serviço e as respectivas datas bases e vigências, com base na Classificação Brasileira de Ocupações – CBO.</t>
    </r>
  </si>
  <si>
    <r>
      <t xml:space="preserve">14. </t>
    </r>
    <r>
      <rPr>
        <sz val="10"/>
        <rFont val="Calibri"/>
        <family val="2"/>
      </rPr>
      <t>Declaramos que tomamos conhecimento de todas as informações e condições para o cumprimento das obrigações objeto desta licitação e que atendemos todas as condições do edital.</t>
    </r>
  </si>
  <si>
    <r>
      <t xml:space="preserve">13. </t>
    </r>
    <r>
      <rPr>
        <sz val="10"/>
        <rFont val="Calibri"/>
        <family val="2"/>
      </rPr>
      <t>No preço estão contidos todos os custos e despesas diretas e indiretas, tributos incidentes, encargos sociais, previdenciarios, trabalhistas e comerciais, taxa de administração e lucro, materiais e mão de obra a serem empregados, vale transporte, vale alimentação, seguros e quaisquer outros necessários ao fiel e integral cumprimento do objeto do edital e seus anexos.</t>
    </r>
  </si>
  <si>
    <t>Valor Total Mensal</t>
  </si>
  <si>
    <t>Unidade</t>
  </si>
  <si>
    <t>GRUPO</t>
  </si>
  <si>
    <r>
      <rPr>
        <b/>
        <sz val="10"/>
        <rFont val="Calibri"/>
        <family val="2"/>
      </rPr>
      <t>12. A unidade da federação na qual será emitido o documento fiscal é:</t>
    </r>
    <r>
      <rPr>
        <sz val="10"/>
        <rFont val="Calibri"/>
        <family val="2"/>
      </rPr>
      <t xml:space="preserve"> </t>
    </r>
  </si>
  <si>
    <t xml:space="preserve">11. Cargo: </t>
  </si>
  <si>
    <r>
      <rPr>
        <b/>
        <sz val="10"/>
        <rFont val="Calibri"/>
        <family val="2"/>
      </rPr>
      <t>10. Representante da Empresa</t>
    </r>
    <r>
      <rPr>
        <sz val="10"/>
        <rFont val="Calibri"/>
        <family val="2"/>
      </rPr>
      <t xml:space="preserve">: </t>
    </r>
  </si>
  <si>
    <r>
      <rPr>
        <b/>
        <sz val="10"/>
        <rFont val="Calibri"/>
        <family val="2"/>
      </rPr>
      <t>9. Banco:</t>
    </r>
    <r>
      <rPr>
        <sz val="10"/>
        <rFont val="Calibri"/>
        <family val="2"/>
      </rPr>
      <t xml:space="preserve">  _________/ Agência:  ______C/c: ______</t>
    </r>
  </si>
  <si>
    <r>
      <rPr>
        <b/>
        <sz val="10"/>
        <rFont val="Calibri"/>
        <family val="2"/>
      </rPr>
      <t xml:space="preserve">8. Prazo de pagamento: </t>
    </r>
    <r>
      <rPr>
        <sz val="10"/>
        <rFont val="Calibri"/>
        <family val="2"/>
      </rPr>
      <t>Conforme Edital</t>
    </r>
  </si>
  <si>
    <r>
      <rPr>
        <b/>
        <sz val="10"/>
        <rFont val="Calibri"/>
        <family val="2"/>
      </rPr>
      <t>7. Validade da proposta:</t>
    </r>
    <r>
      <rPr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</si>
  <si>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6. Telefone</t>
    </r>
    <r>
      <rPr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</si>
  <si>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5. Endereço:</t>
    </r>
    <r>
      <rPr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</si>
  <si>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3. Inscrição Estadual:</t>
    </r>
    <r>
      <rPr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</si>
  <si>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2. CNPJ N</t>
    </r>
    <r>
      <rPr>
        <sz val="10"/>
        <rFont val="Calibri"/>
        <family val="2"/>
      </rPr>
      <t xml:space="preserve">º </t>
    </r>
  </si>
  <si>
    <r>
      <t xml:space="preserve">1. </t>
    </r>
    <r>
      <rPr>
        <b/>
        <sz val="10"/>
        <rFont val="Calibri"/>
        <family val="2"/>
      </rPr>
      <t>Razão Social da Empresa:</t>
    </r>
    <r>
      <rPr>
        <sz val="10"/>
        <rFont val="Calibri"/>
        <family val="2"/>
      </rPr>
      <t xml:space="preserve"> </t>
    </r>
  </si>
  <si>
    <t>PLANILHA DE CUSTOS E FORMAÇÃO DE PREÇOS E PROPOSTA COMERCIAL</t>
  </si>
  <si>
    <t>PLANILHA DA ADMINISTRAÇÃO</t>
  </si>
  <si>
    <t xml:space="preserve">Valor Global Mensal </t>
  </si>
  <si>
    <r>
      <rPr>
        <b/>
        <sz val="10"/>
        <rFont val="Calibri"/>
        <family val="2"/>
      </rPr>
      <t>4. Inscrição Municipal:</t>
    </r>
    <r>
      <rPr>
        <sz val="10"/>
        <rFont val="Calibri"/>
        <family val="2"/>
      </rPr>
      <t xml:space="preserve"> </t>
    </r>
  </si>
  <si>
    <t>Posto</t>
  </si>
  <si>
    <t>Valor Total</t>
  </si>
  <si>
    <t>CBO 5173-30</t>
  </si>
  <si>
    <t>Outros: Intervalo Intrajornada</t>
  </si>
  <si>
    <t>Seguro de Vida</t>
  </si>
  <si>
    <t>SERVIÇO DE VIGILÂNCIA ARMADA- DIURNO - ESCALA 12X36</t>
  </si>
  <si>
    <t xml:space="preserve">Salário-base </t>
  </si>
  <si>
    <t>Quantidade de Postos</t>
  </si>
  <si>
    <t>Qtd. de Vigilantes por Posto</t>
  </si>
  <si>
    <t>SERVIÇO DE VIGILÂNCIA ARMADA- NOTURNO - ESCALA 12X36</t>
  </si>
  <si>
    <t>Transporte (15 dias úteis)</t>
  </si>
  <si>
    <t xml:space="preserve">Outros: </t>
  </si>
  <si>
    <t xml:space="preserve">PLANILHA DE CUSTOS E FORMAÇÃO DE PREÇOS </t>
  </si>
  <si>
    <t xml:space="preserve">Multa sobre o FGTS e contribuições sociais </t>
  </si>
  <si>
    <t>Incidência dos encargos de GPS, FGTS e outras contribuições sobre o aviso prévio trabalhado</t>
  </si>
  <si>
    <t>Valor global da proposta - Contrato de 12 meses
(Valor mensal do serviço multiplicado por 12 (doze), número de meses do
contrato).</t>
  </si>
  <si>
    <t>Valor Global (contrato para 12 meses)</t>
  </si>
  <si>
    <t>Multa sobre o FGTS e contribuições sociais sobre o aviso prévio indenizado</t>
  </si>
  <si>
    <t>Vigilância Diurno 12x36</t>
  </si>
  <si>
    <t>Vigilância Noturno 12x36</t>
  </si>
  <si>
    <t>Valor global da proposta - Contrato de 12 meses
(Valor mensal do serviço multiplicado por 12 (meses), número de meses do
contrato).</t>
  </si>
  <si>
    <t>Substituto na cobertura de Férias</t>
  </si>
  <si>
    <t>Substituto na Licença-paternidade</t>
  </si>
  <si>
    <t>Substituto na Ausência por acidente de trabalho</t>
  </si>
  <si>
    <t>Substituto na Afastamento Maternidade</t>
  </si>
  <si>
    <t>Substituto na cobertura Férias</t>
  </si>
  <si>
    <t>Substituto nas Ausências Legais</t>
  </si>
  <si>
    <t>Substituto no Afastamento Maternidade</t>
  </si>
  <si>
    <t>Substitiuto na Ausência por acidente de trabalho</t>
  </si>
  <si>
    <t/>
  </si>
  <si>
    <t>Valor Global (contrato de 12 meses)</t>
  </si>
  <si>
    <t>RIO GRANDE RS</t>
  </si>
  <si>
    <t xml:space="preserve"> VIGILANTE</t>
  </si>
  <si>
    <t>31/01</t>
  </si>
  <si>
    <t xml:space="preserve">Nº Processo Nº </t>
  </si>
  <si>
    <t>SERVIÇO DE VIGILÂNCIA ARMADA- DIURNO - 40 HORAS SEMANAIS</t>
  </si>
  <si>
    <t>Vigilância 40 Horas Semanais</t>
  </si>
  <si>
    <t>Outros: Adicional Lider</t>
  </si>
  <si>
    <r>
      <t xml:space="preserve">Posto de vigilância armada, de </t>
    </r>
    <r>
      <rPr>
        <b/>
        <sz val="8"/>
        <rFont val="Arial"/>
        <family val="2"/>
      </rPr>
      <t>12 (doze) horas noturnas</t>
    </r>
    <r>
      <rPr>
        <sz val="8"/>
        <rFont val="Arial"/>
        <family val="2"/>
      </rPr>
      <t xml:space="preserve"> de segunda-feira a domingo, envolvendo 2 (dois) vigilantes em turnos de 12 (doze) x 36 (trinta e seis), das </t>
    </r>
    <r>
      <rPr>
        <sz val="8"/>
        <color rgb="FF000000"/>
        <rFont val="Arial"/>
        <family val="2"/>
      </rPr>
      <t>19:00 às 07:00hs</t>
    </r>
    <r>
      <rPr>
        <sz val="8"/>
        <rFont val="Arial"/>
        <family val="2"/>
      </rPr>
      <t xml:space="preserve">, inclusive feriados, para atender as necessidades do edifício sede da </t>
    </r>
    <r>
      <rPr>
        <sz val="8"/>
        <color rgb="FF000000"/>
        <rFont val="Arial"/>
        <family val="2"/>
      </rPr>
      <t>Câmara Municipal de Vereadores do Rio Grande/RS</t>
    </r>
  </si>
  <si>
    <r>
      <t xml:space="preserve">Posto de vigilância armada, de </t>
    </r>
    <r>
      <rPr>
        <b/>
        <u/>
        <sz val="8"/>
        <rFont val="Arial"/>
        <family val="2"/>
      </rPr>
      <t>12 (doze) horas diurnas</t>
    </r>
    <r>
      <rPr>
        <sz val="8"/>
        <rFont val="Arial"/>
        <family val="2"/>
      </rPr>
      <t xml:space="preserve"> de segunda-feira a domingo, envolvendo 2 (dois) vigilantes em turnos de 12 (doze) x 36 (trinta e seis), das </t>
    </r>
    <r>
      <rPr>
        <sz val="8"/>
        <color rgb="FF000000"/>
        <rFont val="Arial"/>
        <family val="2"/>
      </rPr>
      <t>07:00 as 19:00hs</t>
    </r>
    <r>
      <rPr>
        <sz val="8"/>
        <rFont val="Arial"/>
        <family val="2"/>
      </rPr>
      <t>, inclusive feriados, para atender as necessidades do edifício sede da Câmara Municipal de Vereadores do Rio Grande/RS</t>
    </r>
  </si>
  <si>
    <t>RS000837/2025</t>
  </si>
  <si>
    <t>XX/XX/2025</t>
  </si>
  <si>
    <t>Licitação Nº  _______/2025</t>
  </si>
  <si>
    <t>Dia __/___/2025 às ___:___ horas</t>
  </si>
  <si>
    <t>SUBMÓDULO 2.2 - ENCARGOS PREVIDENCIÁRIOS (GPS), FUNDO DE GARANTIA POR TEMPO DE
 SERVIÇO E OUTRAS CONTRIBUIÇÕES</t>
  </si>
  <si>
    <t xml:space="preserve"> </t>
  </si>
  <si>
    <r>
      <t xml:space="preserve">Posto de vigilância armada, de </t>
    </r>
    <r>
      <rPr>
        <b/>
        <sz val="8"/>
        <rFont val="Arial"/>
        <family val="2"/>
      </rPr>
      <t>44 (quarenta) horas semanais</t>
    </r>
    <r>
      <rPr>
        <sz val="8"/>
        <rFont val="Arial"/>
        <family val="2"/>
      </rPr>
      <t>, diurnas de segunda-feira a sexta-feira, envolvendo 01 (um) vigilante para atender as necessidades do edifício sede da Câmara Municipal de Vereadores do Rio Grande/RS</t>
    </r>
  </si>
  <si>
    <r>
      <t xml:space="preserve">Posto de vigilância (LIDER) armada, de </t>
    </r>
    <r>
      <rPr>
        <b/>
        <sz val="8"/>
        <rFont val="Arial"/>
        <family val="2"/>
      </rPr>
      <t>44 (quarenta) horas semanais</t>
    </r>
    <r>
      <rPr>
        <sz val="8"/>
        <rFont val="Arial"/>
        <family val="2"/>
      </rPr>
      <t>, diurnas de segunda-feira a sexta-feira, envolvendo 01 (um) vigilante para atender as necessidades do edifício sede da Câmara Municipal de Vereadores do Rio Grande/RS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</si>
</sst>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164" formatCode="&quot;R$ &quot;#,##0.00"/>
    <numFmt numFmtId="165" formatCode="0.000%"/>
    <numFmt numFmtId="166" formatCode="0.0000%"/>
    <numFmt numFmtId="167" formatCode="_-&quot;R$ &quot;* #,##0.00_-;&quot;-R$ &quot;* #,##0.00_-;_-&quot;R$ &quot;* \-??_-;_-@_-"/>
    <numFmt numFmtId="168" formatCode="_(&quot;R$ &quot;* #,##0.00_);_(&quot;R$ &quot;* \(#,##0.00\);_(&quot;R$ &quot;* &quot;-&quot;??_);_(@_)"/>
    <numFmt numFmtId="169" formatCode="&quot;R$&quot;\ #,##0.00"/>
    <numFmt numFmtId="170" formatCode="_(* #,##0.00_);_(* \(#,##0.00\);_(* &quot;-&quot;??_);_(@_)"/>
    <numFmt numFmtId="171" formatCode="_(&quot;R$ &quot;* #,##0.00_);_(&quot;R$ &quot;* \(#,##0.00\);_(&quot;R$ &quot;* \-??_);_(@_)"/>
    <numFmt numFmtId="172" formatCode="&quot;R$&quot;#,##0.00"/>
  </numFmts>
  <fonts count="6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"/>
    </font>
    <font>
      <sz val="10"/>
      <name val="Arial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color indexed="81"/>
      <name val="Times New Roman"/>
      <family val="1"/>
    </font>
    <font>
      <sz val="9"/>
      <color indexed="81"/>
      <name val="Segoe UI"/>
      <family val="2"/>
    </font>
    <font>
      <b/>
      <sz val="10"/>
      <color indexed="81"/>
      <name val="Times New Roman"/>
      <family val="1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80008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Arial"/>
      <family val="2"/>
    </font>
    <font>
      <b/>
      <u/>
      <sz val="14"/>
      <name val="Arial"/>
      <family val="2"/>
    </font>
    <font>
      <b/>
      <sz val="10"/>
      <color theme="1"/>
      <name val="Calibri"/>
      <family val="2"/>
      <scheme val="minor"/>
    </font>
    <font>
      <sz val="8"/>
      <color indexed="81"/>
      <name val="Segoe UI"/>
      <family val="2"/>
    </font>
    <font>
      <sz val="7.5"/>
      <color indexed="81"/>
      <name val="Segoe UI"/>
      <family val="2"/>
    </font>
    <font>
      <b/>
      <sz val="8"/>
      <color indexed="81"/>
      <name val="Times New Roman"/>
      <family val="1"/>
    </font>
    <font>
      <sz val="8"/>
      <color indexed="81"/>
      <name val="Times New Roman"/>
      <family val="1"/>
    </font>
    <font>
      <sz val="8"/>
      <color indexed="8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u/>
      <sz val="10"/>
      <color indexed="81"/>
      <name val="Times New Roman"/>
      <family val="1"/>
    </font>
    <font>
      <b/>
      <u/>
      <sz val="8"/>
      <color indexed="81"/>
      <name val="Times New Roman"/>
      <family val="1"/>
    </font>
    <font>
      <b/>
      <sz val="7.5"/>
      <color indexed="81"/>
      <name val="Segoe UI"/>
      <family val="2"/>
    </font>
    <font>
      <b/>
      <sz val="8"/>
      <color indexed="81"/>
      <name val="Segoe UI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167" fontId="4" fillId="0" borderId="0" applyBorder="0" applyProtection="0"/>
    <xf numFmtId="9" fontId="4" fillId="0" borderId="0" applyBorder="0" applyProtection="0"/>
    <xf numFmtId="0" fontId="2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10" borderId="0" applyNumberFormat="0" applyBorder="0" applyAlignment="0" applyProtection="0"/>
    <xf numFmtId="0" fontId="15" fillId="22" borderId="20" applyNumberFormat="0" applyAlignment="0" applyProtection="0"/>
    <xf numFmtId="0" fontId="16" fillId="23" borderId="21" applyNumberFormat="0" applyAlignment="0" applyProtection="0"/>
    <xf numFmtId="0" fontId="17" fillId="0" borderId="22" applyNumberFormat="0" applyFill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7" borderId="0" applyNumberFormat="0" applyBorder="0" applyAlignment="0" applyProtection="0"/>
    <xf numFmtId="0" fontId="18" fillId="13" borderId="20" applyNumberFormat="0" applyAlignment="0" applyProtection="0"/>
    <xf numFmtId="0" fontId="19" fillId="9" borderId="0" applyNumberFormat="0" applyBorder="0" applyAlignment="0" applyProtection="0"/>
    <xf numFmtId="44" fontId="12" fillId="0" borderId="0" applyFont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68" fontId="7" fillId="0" borderId="0" applyFont="0" applyFill="0" applyBorder="0" applyAlignment="0" applyProtection="0"/>
    <xf numFmtId="0" fontId="20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7" fillId="29" borderId="23" applyNumberFormat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0" fontId="21" fillId="22" borderId="24" applyNumberFormat="0" applyAlignment="0" applyProtection="0"/>
    <xf numFmtId="170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26" fillId="0" borderId="26" applyNumberFormat="0" applyFill="0" applyAlignment="0" applyProtection="0"/>
    <xf numFmtId="0" fontId="27" fillId="0" borderId="27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28" applyNumberFormat="0" applyFill="0" applyAlignment="0" applyProtection="0"/>
    <xf numFmtId="170" fontId="7" fillId="0" borderId="0" applyFont="0" applyFill="0" applyBorder="0" applyAlignment="0" applyProtection="0"/>
    <xf numFmtId="0" fontId="1" fillId="0" borderId="0"/>
  </cellStyleXfs>
  <cellXfs count="319">
    <xf numFmtId="0" fontId="0" fillId="0" borderId="0" xfId="0"/>
    <xf numFmtId="2" fontId="0" fillId="2" borderId="0" xfId="0" applyNumberFormat="1" applyFill="1"/>
    <xf numFmtId="0" fontId="3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10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29" xfId="0" applyFont="1" applyBorder="1" applyAlignment="1">
      <alignment vertical="center" wrapText="1"/>
    </xf>
    <xf numFmtId="0" fontId="33" fillId="4" borderId="1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10" fontId="33" fillId="0" borderId="29" xfId="0" applyNumberFormat="1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wrapText="1"/>
    </xf>
    <xf numFmtId="49" fontId="34" fillId="0" borderId="0" xfId="0" applyNumberFormat="1" applyFont="1" applyAlignment="1">
      <alignment horizontal="right" vertical="center" wrapText="1"/>
    </xf>
    <xf numFmtId="167" fontId="33" fillId="0" borderId="0" xfId="1" applyFont="1" applyBorder="1"/>
    <xf numFmtId="0" fontId="33" fillId="0" borderId="0" xfId="0" applyFont="1"/>
    <xf numFmtId="0" fontId="39" fillId="3" borderId="0" xfId="3" applyFont="1" applyFill="1" applyAlignment="1">
      <alignment horizontal="center" vertical="center" wrapText="1"/>
    </xf>
    <xf numFmtId="169" fontId="39" fillId="3" borderId="0" xfId="3" applyNumberFormat="1" applyFont="1" applyFill="1" applyAlignment="1">
      <alignment horizontal="center" vertical="center" wrapText="1"/>
    </xf>
    <xf numFmtId="0" fontId="39" fillId="3" borderId="0" xfId="45" applyNumberFormat="1" applyFont="1" applyFill="1" applyBorder="1" applyAlignment="1" applyProtection="1">
      <alignment horizontal="center" vertical="center" wrapText="1"/>
      <protection locked="0"/>
    </xf>
    <xf numFmtId="169" fontId="39" fillId="3" borderId="0" xfId="34" applyNumberFormat="1" applyFont="1" applyFill="1" applyBorder="1" applyAlignment="1" applyProtection="1">
      <alignment horizontal="center" vertical="center" wrapText="1"/>
      <protection locked="0"/>
    </xf>
    <xf numFmtId="2" fontId="33" fillId="2" borderId="0" xfId="0" applyNumberFormat="1" applyFont="1" applyFill="1"/>
    <xf numFmtId="10" fontId="34" fillId="0" borderId="1" xfId="0" applyNumberFormat="1" applyFont="1" applyBorder="1" applyAlignment="1">
      <alignment horizontal="center" vertical="center"/>
    </xf>
    <xf numFmtId="10" fontId="33" fillId="0" borderId="1" xfId="0" applyNumberFormat="1" applyFont="1" applyBorder="1" applyAlignment="1">
      <alignment horizontal="center" vertical="center" wrapText="1"/>
    </xf>
    <xf numFmtId="2" fontId="34" fillId="4" borderId="1" xfId="0" applyNumberFormat="1" applyFont="1" applyFill="1" applyBorder="1" applyAlignment="1">
      <alignment horizontal="center" vertical="center"/>
    </xf>
    <xf numFmtId="10" fontId="34" fillId="4" borderId="29" xfId="0" applyNumberFormat="1" applyFont="1" applyFill="1" applyBorder="1" applyAlignment="1">
      <alignment horizontal="center" vertical="center"/>
    </xf>
    <xf numFmtId="169" fontId="34" fillId="4" borderId="3" xfId="0" applyNumberFormat="1" applyFont="1" applyFill="1" applyBorder="1" applyAlignment="1">
      <alignment horizontal="center" vertical="center" wrapText="1"/>
    </xf>
    <xf numFmtId="169" fontId="33" fillId="0" borderId="1" xfId="0" applyNumberFormat="1" applyFont="1" applyBorder="1" applyAlignment="1">
      <alignment horizontal="center" vertical="center"/>
    </xf>
    <xf numFmtId="10" fontId="33" fillId="0" borderId="1" xfId="2" applyNumberFormat="1" applyFont="1" applyBorder="1" applyAlignment="1" applyProtection="1">
      <alignment horizontal="center" vertical="center" wrapText="1"/>
    </xf>
    <xf numFmtId="169" fontId="34" fillId="4" borderId="1" xfId="0" applyNumberFormat="1" applyFont="1" applyFill="1" applyBorder="1" applyAlignment="1">
      <alignment horizontal="center" vertical="center"/>
    </xf>
    <xf numFmtId="166" fontId="34" fillId="4" borderId="1" xfId="0" applyNumberFormat="1" applyFont="1" applyFill="1" applyBorder="1" applyAlignment="1">
      <alignment horizontal="center" vertical="center"/>
    </xf>
    <xf numFmtId="169" fontId="33" fillId="0" borderId="1" xfId="0" applyNumberFormat="1" applyFont="1" applyBorder="1" applyAlignment="1">
      <alignment horizontal="center" vertical="center" wrapText="1"/>
    </xf>
    <xf numFmtId="169" fontId="33" fillId="0" borderId="3" xfId="0" applyNumberFormat="1" applyFont="1" applyBorder="1" applyAlignment="1">
      <alignment horizontal="center" vertical="center"/>
    </xf>
    <xf numFmtId="169" fontId="33" fillId="0" borderId="10" xfId="0" applyNumberFormat="1" applyFont="1" applyBorder="1" applyAlignment="1">
      <alignment horizontal="center" vertical="center"/>
    </xf>
    <xf numFmtId="169" fontId="33" fillId="0" borderId="9" xfId="0" applyNumberFormat="1" applyFont="1" applyBorder="1" applyAlignment="1">
      <alignment horizontal="center" vertical="center"/>
    </xf>
    <xf numFmtId="4" fontId="33" fillId="0" borderId="29" xfId="0" applyNumberFormat="1" applyFont="1" applyBorder="1" applyAlignment="1">
      <alignment vertical="center" wrapText="1"/>
    </xf>
    <xf numFmtId="4" fontId="33" fillId="0" borderId="1" xfId="0" applyNumberFormat="1" applyFont="1" applyBorder="1" applyAlignment="1">
      <alignment horizontal="center" vertical="center"/>
    </xf>
    <xf numFmtId="169" fontId="34" fillId="4" borderId="1" xfId="0" applyNumberFormat="1" applyFont="1" applyFill="1" applyBorder="1" applyAlignment="1">
      <alignment horizontal="center" vertical="center" wrapText="1"/>
    </xf>
    <xf numFmtId="169" fontId="34" fillId="0" borderId="1" xfId="0" applyNumberFormat="1" applyFont="1" applyBorder="1" applyAlignment="1">
      <alignment horizontal="center" vertical="center"/>
    </xf>
    <xf numFmtId="0" fontId="38" fillId="3" borderId="12" xfId="3" applyFont="1" applyFill="1" applyBorder="1" applyAlignment="1">
      <alignment horizontal="center" vertical="center" wrapText="1"/>
    </xf>
    <xf numFmtId="0" fontId="39" fillId="3" borderId="12" xfId="3" applyFont="1" applyFill="1" applyBorder="1" applyAlignment="1">
      <alignment horizontal="center" vertical="center" wrapText="1"/>
    </xf>
    <xf numFmtId="0" fontId="31" fillId="3" borderId="12" xfId="3" applyFont="1" applyFill="1" applyBorder="1" applyAlignment="1">
      <alignment horizontal="center" vertical="center" wrapText="1"/>
    </xf>
    <xf numFmtId="0" fontId="32" fillId="3" borderId="12" xfId="3" applyFont="1" applyFill="1" applyBorder="1" applyAlignment="1">
      <alignment horizontal="center" vertical="center" wrapText="1"/>
    </xf>
    <xf numFmtId="169" fontId="33" fillId="5" borderId="1" xfId="1" applyNumberFormat="1" applyFont="1" applyFill="1" applyBorder="1" applyAlignment="1">
      <alignment horizontal="center"/>
    </xf>
    <xf numFmtId="169" fontId="33" fillId="0" borderId="5" xfId="0" applyNumberFormat="1" applyFont="1" applyBorder="1" applyAlignment="1">
      <alignment horizontal="center" vertical="center" wrapText="1"/>
    </xf>
    <xf numFmtId="169" fontId="34" fillId="5" borderId="29" xfId="1" applyNumberFormat="1" applyFont="1" applyFill="1" applyBorder="1" applyAlignment="1">
      <alignment horizontal="center"/>
    </xf>
    <xf numFmtId="0" fontId="38" fillId="0" borderId="0" xfId="3" applyFont="1" applyAlignment="1">
      <alignment vertical="center" wrapText="1"/>
    </xf>
    <xf numFmtId="0" fontId="39" fillId="3" borderId="0" xfId="3" applyFont="1" applyFill="1" applyAlignment="1">
      <alignment vertical="center" wrapText="1"/>
    </xf>
    <xf numFmtId="0" fontId="39" fillId="3" borderId="12" xfId="3" applyFont="1" applyFill="1" applyBorder="1" applyAlignment="1">
      <alignment vertical="center" wrapText="1"/>
    </xf>
    <xf numFmtId="169" fontId="39" fillId="3" borderId="12" xfId="34" applyNumberFormat="1" applyFont="1" applyFill="1" applyBorder="1" applyAlignment="1" applyProtection="1">
      <alignment horizontal="center" vertical="center" wrapText="1"/>
      <protection locked="0"/>
    </xf>
    <xf numFmtId="10" fontId="39" fillId="3" borderId="12" xfId="45" applyNumberFormat="1" applyFont="1" applyFill="1" applyBorder="1" applyAlignment="1" applyProtection="1">
      <alignment horizontal="center" vertical="center" wrapText="1"/>
      <protection locked="0"/>
    </xf>
    <xf numFmtId="169" fontId="32" fillId="3" borderId="18" xfId="3" applyNumberFormat="1" applyFont="1" applyFill="1" applyBorder="1" applyAlignment="1">
      <alignment horizontal="center" vertical="center" wrapText="1"/>
    </xf>
    <xf numFmtId="10" fontId="34" fillId="30" borderId="29" xfId="0" applyNumberFormat="1" applyFont="1" applyFill="1" applyBorder="1" applyAlignment="1">
      <alignment horizontal="center" vertical="center"/>
    </xf>
    <xf numFmtId="169" fontId="34" fillId="30" borderId="29" xfId="0" applyNumberFormat="1" applyFont="1" applyFill="1" applyBorder="1" applyAlignment="1">
      <alignment horizontal="center" vertical="center"/>
    </xf>
    <xf numFmtId="169" fontId="34" fillId="30" borderId="32" xfId="0" applyNumberFormat="1" applyFont="1" applyFill="1" applyBorder="1" applyAlignment="1">
      <alignment horizontal="center" vertical="center"/>
    </xf>
    <xf numFmtId="0" fontId="34" fillId="31" borderId="29" xfId="0" applyFont="1" applyFill="1" applyBorder="1" applyAlignment="1">
      <alignment horizontal="center" vertical="center"/>
    </xf>
    <xf numFmtId="169" fontId="34" fillId="31" borderId="5" xfId="0" applyNumberFormat="1" applyFont="1" applyFill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/>
    </xf>
    <xf numFmtId="169" fontId="34" fillId="30" borderId="32" xfId="0" applyNumberFormat="1" applyFont="1" applyFill="1" applyBorder="1" applyAlignment="1">
      <alignment horizontal="center" vertical="center" wrapText="1"/>
    </xf>
    <xf numFmtId="169" fontId="34" fillId="31" borderId="32" xfId="0" applyNumberFormat="1" applyFont="1" applyFill="1" applyBorder="1" applyAlignment="1">
      <alignment horizontal="center" vertical="center"/>
    </xf>
    <xf numFmtId="0" fontId="34" fillId="30" borderId="29" xfId="0" applyFont="1" applyFill="1" applyBorder="1" applyAlignment="1">
      <alignment horizontal="center" vertical="center"/>
    </xf>
    <xf numFmtId="0" fontId="31" fillId="3" borderId="18" xfId="3" applyFont="1" applyFill="1" applyBorder="1" applyAlignment="1">
      <alignment horizontal="center" vertical="center" wrapText="1"/>
    </xf>
    <xf numFmtId="0" fontId="31" fillId="3" borderId="17" xfId="3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7" fillId="0" borderId="0" xfId="41"/>
    <xf numFmtId="0" fontId="7" fillId="0" borderId="0" xfId="41" applyAlignment="1">
      <alignment horizontal="center" vertical="center"/>
    </xf>
    <xf numFmtId="0" fontId="42" fillId="0" borderId="0" xfId="41" applyFont="1"/>
    <xf numFmtId="0" fontId="42" fillId="0" borderId="0" xfId="41" applyFont="1" applyAlignment="1">
      <alignment horizontal="center" vertical="center"/>
    </xf>
    <xf numFmtId="0" fontId="42" fillId="0" borderId="0" xfId="41" applyFont="1" applyAlignment="1">
      <alignment horizontal="center"/>
    </xf>
    <xf numFmtId="0" fontId="42" fillId="0" borderId="0" xfId="41" applyFont="1" applyAlignment="1">
      <alignment wrapText="1"/>
    </xf>
    <xf numFmtId="169" fontId="44" fillId="3" borderId="29" xfId="41" applyNumberFormat="1" applyFont="1" applyFill="1" applyBorder="1"/>
    <xf numFmtId="0" fontId="43" fillId="0" borderId="0" xfId="41" applyFont="1"/>
    <xf numFmtId="164" fontId="45" fillId="3" borderId="29" xfId="41" applyNumberFormat="1" applyFont="1" applyFill="1" applyBorder="1" applyAlignment="1">
      <alignment horizontal="center" vertical="center" wrapText="1"/>
    </xf>
    <xf numFmtId="0" fontId="42" fillId="0" borderId="29" xfId="41" applyFont="1" applyBorder="1"/>
    <xf numFmtId="0" fontId="7" fillId="0" borderId="29" xfId="41" applyBorder="1"/>
    <xf numFmtId="0" fontId="45" fillId="3" borderId="29" xfId="41" applyFont="1" applyFill="1" applyBorder="1" applyAlignment="1">
      <alignment horizontal="center" vertical="center" wrapText="1"/>
    </xf>
    <xf numFmtId="0" fontId="42" fillId="0" borderId="0" xfId="41" applyFont="1" applyAlignment="1">
      <alignment horizontal="left"/>
    </xf>
    <xf numFmtId="0" fontId="49" fillId="3" borderId="29" xfId="41" applyFont="1" applyFill="1" applyBorder="1" applyAlignment="1">
      <alignment horizontal="center" vertical="center" wrapText="1"/>
    </xf>
    <xf numFmtId="0" fontId="7" fillId="0" borderId="29" xfId="41" applyBorder="1" applyAlignment="1">
      <alignment horizontal="center" vertical="center"/>
    </xf>
    <xf numFmtId="10" fontId="33" fillId="7" borderId="1" xfId="0" applyNumberFormat="1" applyFont="1" applyFill="1" applyBorder="1" applyAlignment="1">
      <alignment horizontal="center" vertical="center" wrapText="1"/>
    </xf>
    <xf numFmtId="10" fontId="33" fillId="7" borderId="1" xfId="0" applyNumberFormat="1" applyFont="1" applyFill="1" applyBorder="1" applyAlignment="1">
      <alignment horizontal="center" vertical="center"/>
    </xf>
    <xf numFmtId="0" fontId="34" fillId="32" borderId="3" xfId="0" applyFont="1" applyFill="1" applyBorder="1" applyAlignment="1">
      <alignment horizontal="center" vertical="center" wrapText="1"/>
    </xf>
    <xf numFmtId="2" fontId="34" fillId="32" borderId="3" xfId="0" applyNumberFormat="1" applyFont="1" applyFill="1" applyBorder="1" applyAlignment="1">
      <alignment horizontal="center" vertical="center" wrapText="1"/>
    </xf>
    <xf numFmtId="0" fontId="34" fillId="32" borderId="1" xfId="0" applyFont="1" applyFill="1" applyBorder="1" applyAlignment="1">
      <alignment horizontal="center" vertical="center"/>
    </xf>
    <xf numFmtId="0" fontId="34" fillId="32" borderId="1" xfId="0" applyFont="1" applyFill="1" applyBorder="1" applyAlignment="1">
      <alignment horizontal="center" vertical="center" wrapText="1"/>
    </xf>
    <xf numFmtId="2" fontId="34" fillId="32" borderId="1" xfId="0" applyNumberFormat="1" applyFont="1" applyFill="1" applyBorder="1" applyAlignment="1">
      <alignment horizontal="center" vertical="center"/>
    </xf>
    <xf numFmtId="0" fontId="34" fillId="32" borderId="2" xfId="0" applyFont="1" applyFill="1" applyBorder="1" applyAlignment="1">
      <alignment horizontal="center" vertical="center"/>
    </xf>
    <xf numFmtId="2" fontId="34" fillId="32" borderId="1" xfId="0" applyNumberFormat="1" applyFont="1" applyFill="1" applyBorder="1" applyAlignment="1">
      <alignment horizontal="center" vertical="center" wrapText="1"/>
    </xf>
    <xf numFmtId="0" fontId="34" fillId="32" borderId="8" xfId="0" applyFont="1" applyFill="1" applyBorder="1" applyAlignment="1">
      <alignment horizontal="center" vertical="center"/>
    </xf>
    <xf numFmtId="2" fontId="34" fillId="32" borderId="8" xfId="0" applyNumberFormat="1" applyFont="1" applyFill="1" applyBorder="1" applyAlignment="1">
      <alignment horizontal="center" vertical="center" wrapText="1"/>
    </xf>
    <xf numFmtId="0" fontId="33" fillId="32" borderId="1" xfId="0" applyFont="1" applyFill="1" applyBorder="1" applyAlignment="1">
      <alignment horizontal="center" vertical="center"/>
    </xf>
    <xf numFmtId="2" fontId="33" fillId="32" borderId="1" xfId="0" applyNumberFormat="1" applyFont="1" applyFill="1" applyBorder="1" applyAlignment="1">
      <alignment horizontal="center" vertical="center"/>
    </xf>
    <xf numFmtId="0" fontId="34" fillId="32" borderId="1" xfId="0" applyFont="1" applyFill="1" applyBorder="1" applyAlignment="1">
      <alignment horizontal="center"/>
    </xf>
    <xf numFmtId="2" fontId="34" fillId="32" borderId="1" xfId="0" applyNumberFormat="1" applyFont="1" applyFill="1" applyBorder="1" applyAlignment="1">
      <alignment horizontal="center"/>
    </xf>
    <xf numFmtId="0" fontId="31" fillId="3" borderId="13" xfId="3" applyFont="1" applyFill="1" applyBorder="1" applyAlignment="1">
      <alignment horizontal="center" vertical="center" wrapText="1"/>
    </xf>
    <xf numFmtId="164" fontId="38" fillId="7" borderId="1" xfId="0" applyNumberFormat="1" applyFont="1" applyFill="1" applyBorder="1" applyAlignment="1">
      <alignment horizontal="center" vertical="center"/>
    </xf>
    <xf numFmtId="3" fontId="38" fillId="7" borderId="3" xfId="0" applyNumberFormat="1" applyFont="1" applyFill="1" applyBorder="1" applyAlignment="1">
      <alignment horizontal="center" vertical="center"/>
    </xf>
    <xf numFmtId="9" fontId="38" fillId="7" borderId="1" xfId="2" applyFont="1" applyFill="1" applyBorder="1" applyAlignment="1" applyProtection="1">
      <alignment horizontal="center" vertical="center"/>
    </xf>
    <xf numFmtId="10" fontId="33" fillId="0" borderId="8" xfId="0" applyNumberFormat="1" applyFont="1" applyBorder="1" applyAlignment="1">
      <alignment horizontal="center" vertical="center"/>
    </xf>
    <xf numFmtId="166" fontId="34" fillId="7" borderId="1" xfId="0" applyNumberFormat="1" applyFont="1" applyFill="1" applyBorder="1" applyAlignment="1">
      <alignment horizontal="center" vertical="center"/>
    </xf>
    <xf numFmtId="169" fontId="33" fillId="7" borderId="1" xfId="0" applyNumberFormat="1" applyFont="1" applyFill="1" applyBorder="1" applyAlignment="1">
      <alignment horizontal="right" vertical="center"/>
    </xf>
    <xf numFmtId="169" fontId="33" fillId="7" borderId="1" xfId="0" applyNumberFormat="1" applyFont="1" applyFill="1" applyBorder="1" applyAlignment="1">
      <alignment horizontal="right" vertical="center" wrapText="1"/>
    </xf>
    <xf numFmtId="0" fontId="47" fillId="0" borderId="0" xfId="41" applyFont="1" applyAlignment="1">
      <alignment horizontal="center"/>
    </xf>
    <xf numFmtId="0" fontId="41" fillId="3" borderId="32" xfId="41" applyFont="1" applyFill="1" applyBorder="1" applyAlignment="1">
      <alignment horizontal="center" vertical="center" wrapText="1"/>
    </xf>
    <xf numFmtId="0" fontId="46" fillId="0" borderId="0" xfId="41" applyFont="1" applyAlignment="1">
      <alignment horizontal="left" vertical="center" wrapText="1"/>
    </xf>
    <xf numFmtId="0" fontId="7" fillId="0" borderId="0" xfId="41" applyAlignment="1">
      <alignment horizontal="center"/>
    </xf>
    <xf numFmtId="0" fontId="43" fillId="0" borderId="0" xfId="41" applyFont="1" applyAlignment="1">
      <alignment horizontal="center" vertical="center"/>
    </xf>
    <xf numFmtId="169" fontId="33" fillId="3" borderId="1" xfId="0" applyNumberFormat="1" applyFont="1" applyFill="1" applyBorder="1" applyAlignment="1">
      <alignment horizontal="center" vertical="center" wrapText="1"/>
    </xf>
    <xf numFmtId="2" fontId="0" fillId="2" borderId="29" xfId="0" applyNumberFormat="1" applyFill="1" applyBorder="1"/>
    <xf numFmtId="0" fontId="55" fillId="0" borderId="29" xfId="0" applyFont="1" applyBorder="1" applyAlignment="1">
      <alignment horizontal="center" vertical="center" wrapText="1"/>
    </xf>
    <xf numFmtId="0" fontId="57" fillId="0" borderId="29" xfId="0" applyFont="1" applyBorder="1" applyAlignment="1">
      <alignment horizontal="center" vertical="center" wrapText="1"/>
    </xf>
    <xf numFmtId="169" fontId="44" fillId="3" borderId="29" xfId="37" applyNumberFormat="1" applyFont="1" applyFill="1" applyBorder="1" applyAlignment="1">
      <alignment horizontal="center" vertical="center"/>
    </xf>
    <xf numFmtId="0" fontId="0" fillId="0" borderId="29" xfId="0" applyBorder="1"/>
    <xf numFmtId="169" fontId="33" fillId="0" borderId="29" xfId="0" applyNumberFormat="1" applyFont="1" applyBorder="1" applyAlignment="1">
      <alignment horizontal="center" vertical="center"/>
    </xf>
    <xf numFmtId="10" fontId="39" fillId="3" borderId="12" xfId="45" quotePrefix="1" applyNumberFormat="1" applyFont="1" applyFill="1" applyBorder="1" applyAlignment="1" applyProtection="1">
      <alignment horizontal="center" vertical="center" wrapText="1"/>
      <protection locked="0"/>
    </xf>
    <xf numFmtId="0" fontId="43" fillId="0" borderId="29" xfId="41" applyFont="1" applyBorder="1" applyAlignment="1">
      <alignment horizontal="center" vertical="center"/>
    </xf>
    <xf numFmtId="172" fontId="33" fillId="0" borderId="29" xfId="0" applyNumberFormat="1" applyFont="1" applyBorder="1" applyAlignment="1">
      <alignment horizontal="center" vertical="center" wrapText="1"/>
    </xf>
    <xf numFmtId="172" fontId="0" fillId="0" borderId="0" xfId="0" applyNumberFormat="1"/>
    <xf numFmtId="4" fontId="34" fillId="32" borderId="3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34" fillId="32" borderId="1" xfId="0" applyNumberFormat="1" applyFont="1" applyFill="1" applyBorder="1" applyAlignment="1">
      <alignment horizontal="center" vertical="center"/>
    </xf>
    <xf numFmtId="4" fontId="34" fillId="4" borderId="1" xfId="0" applyNumberFormat="1" applyFont="1" applyFill="1" applyBorder="1" applyAlignment="1">
      <alignment horizontal="center" vertical="center"/>
    </xf>
    <xf numFmtId="4" fontId="34" fillId="32" borderId="1" xfId="0" applyNumberFormat="1" applyFont="1" applyFill="1" applyBorder="1" applyAlignment="1">
      <alignment horizontal="center" vertical="center" wrapText="1"/>
    </xf>
    <xf numFmtId="4" fontId="34" fillId="32" borderId="8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center" vertical="center"/>
    </xf>
    <xf numFmtId="4" fontId="33" fillId="7" borderId="1" xfId="0" applyNumberFormat="1" applyFont="1" applyFill="1" applyBorder="1" applyAlignment="1">
      <alignment horizontal="right" vertical="center"/>
    </xf>
    <xf numFmtId="4" fontId="33" fillId="7" borderId="1" xfId="0" applyNumberFormat="1" applyFont="1" applyFill="1" applyBorder="1" applyAlignment="1">
      <alignment horizontal="right" vertical="center" wrapText="1"/>
    </xf>
    <xf numFmtId="4" fontId="33" fillId="32" borderId="1" xfId="0" applyNumberFormat="1" applyFont="1" applyFill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4" fontId="33" fillId="0" borderId="9" xfId="0" applyNumberFormat="1" applyFont="1" applyBorder="1" applyAlignment="1">
      <alignment horizontal="center" vertical="center"/>
    </xf>
    <xf numFmtId="4" fontId="34" fillId="30" borderId="32" xfId="0" applyNumberFormat="1" applyFont="1" applyFill="1" applyBorder="1" applyAlignment="1">
      <alignment horizontal="center" vertical="center"/>
    </xf>
    <xf numFmtId="4" fontId="34" fillId="31" borderId="5" xfId="0" applyNumberFormat="1" applyFont="1" applyFill="1" applyBorder="1" applyAlignment="1">
      <alignment horizontal="center" vertical="center"/>
    </xf>
    <xf numFmtId="4" fontId="34" fillId="32" borderId="1" xfId="0" applyNumberFormat="1" applyFont="1" applyFill="1" applyBorder="1" applyAlignment="1">
      <alignment horizontal="center"/>
    </xf>
    <xf numFmtId="4" fontId="33" fillId="3" borderId="1" xfId="0" applyNumberFormat="1" applyFont="1" applyFill="1" applyBorder="1" applyAlignment="1">
      <alignment horizontal="center" vertical="center" wrapText="1"/>
    </xf>
    <xf numFmtId="4" fontId="34" fillId="4" borderId="1" xfId="0" applyNumberFormat="1" applyFont="1" applyFill="1" applyBorder="1" applyAlignment="1">
      <alignment horizontal="center" vertical="center" wrapText="1"/>
    </xf>
    <xf numFmtId="4" fontId="34" fillId="30" borderId="32" xfId="0" applyNumberFormat="1" applyFont="1" applyFill="1" applyBorder="1" applyAlignment="1">
      <alignment horizontal="center" vertical="center" wrapText="1"/>
    </xf>
    <xf numFmtId="4" fontId="34" fillId="31" borderId="32" xfId="0" applyNumberFormat="1" applyFont="1" applyFill="1" applyBorder="1" applyAlignment="1">
      <alignment horizontal="center" vertical="center"/>
    </xf>
    <xf numFmtId="4" fontId="34" fillId="0" borderId="1" xfId="0" applyNumberFormat="1" applyFont="1" applyBorder="1" applyAlignment="1">
      <alignment horizontal="center" vertical="center"/>
    </xf>
    <xf numFmtId="4" fontId="33" fillId="5" borderId="1" xfId="1" applyNumberFormat="1" applyFont="1" applyFill="1" applyBorder="1" applyAlignment="1">
      <alignment horizontal="center"/>
    </xf>
    <xf numFmtId="4" fontId="33" fillId="0" borderId="5" xfId="0" applyNumberFormat="1" applyFont="1" applyBorder="1" applyAlignment="1">
      <alignment horizontal="center" vertical="center" wrapText="1"/>
    </xf>
    <xf numFmtId="4" fontId="34" fillId="5" borderId="29" xfId="1" applyNumberFormat="1" applyFont="1" applyFill="1" applyBorder="1" applyAlignment="1">
      <alignment horizontal="center"/>
    </xf>
    <xf numFmtId="4" fontId="33" fillId="0" borderId="0" xfId="1" applyNumberFormat="1" applyFont="1" applyBorder="1"/>
    <xf numFmtId="4" fontId="33" fillId="2" borderId="0" xfId="0" applyNumberFormat="1" applyFont="1" applyFill="1"/>
    <xf numFmtId="4" fontId="38" fillId="0" borderId="0" xfId="3" applyNumberFormat="1" applyFont="1" applyAlignment="1">
      <alignment vertical="center" wrapText="1"/>
    </xf>
    <xf numFmtId="167" fontId="4" fillId="0" borderId="0" xfId="1" applyAlignment="1">
      <alignment horizontal="center"/>
    </xf>
    <xf numFmtId="167" fontId="4" fillId="0" borderId="1" xfId="1" applyBorder="1" applyAlignment="1">
      <alignment horizontal="center"/>
    </xf>
    <xf numFmtId="167" fontId="4" fillId="0" borderId="29" xfId="1" applyBorder="1" applyAlignment="1">
      <alignment horizontal="center"/>
    </xf>
    <xf numFmtId="167" fontId="4" fillId="0" borderId="3" xfId="1" applyBorder="1" applyAlignment="1">
      <alignment horizontal="center"/>
    </xf>
    <xf numFmtId="4" fontId="0" fillId="0" borderId="0" xfId="0" applyNumberFormat="1"/>
    <xf numFmtId="169" fontId="37" fillId="0" borderId="1" xfId="0" applyNumberFormat="1" applyFont="1" applyBorder="1" applyAlignment="1">
      <alignment horizontal="center" vertical="center"/>
    </xf>
    <xf numFmtId="169" fontId="37" fillId="0" borderId="1" xfId="0" applyNumberFormat="1" applyFont="1" applyBorder="1" applyAlignment="1">
      <alignment horizontal="center" vertical="center" wrapText="1"/>
    </xf>
    <xf numFmtId="169" fontId="0" fillId="0" borderId="0" xfId="0" applyNumberFormat="1"/>
    <xf numFmtId="0" fontId="41" fillId="3" borderId="30" xfId="41" applyFont="1" applyFill="1" applyBorder="1" applyAlignment="1">
      <alignment horizontal="center" vertical="center" wrapText="1"/>
    </xf>
    <xf numFmtId="0" fontId="41" fillId="3" borderId="31" xfId="41" applyFont="1" applyFill="1" applyBorder="1" applyAlignment="1">
      <alignment horizontal="center" vertical="center" wrapText="1"/>
    </xf>
    <xf numFmtId="0" fontId="41" fillId="3" borderId="32" xfId="41" applyFont="1" applyFill="1" applyBorder="1" applyAlignment="1">
      <alignment horizontal="center" vertical="center" wrapText="1"/>
    </xf>
    <xf numFmtId="0" fontId="46" fillId="0" borderId="0" xfId="41" applyFont="1" applyAlignment="1">
      <alignment horizontal="left" vertical="center" wrapText="1"/>
    </xf>
    <xf numFmtId="0" fontId="42" fillId="0" borderId="0" xfId="41" applyFont="1" applyAlignment="1">
      <alignment horizontal="left"/>
    </xf>
    <xf numFmtId="0" fontId="5" fillId="0" borderId="0" xfId="41" applyFont="1" applyAlignment="1">
      <alignment horizontal="left"/>
    </xf>
    <xf numFmtId="0" fontId="7" fillId="0" borderId="0" xfId="41" applyAlignment="1">
      <alignment horizontal="center"/>
    </xf>
    <xf numFmtId="0" fontId="45" fillId="3" borderId="29" xfId="41" applyFont="1" applyFill="1" applyBorder="1" applyAlignment="1">
      <alignment horizontal="center" vertical="center" wrapText="1"/>
    </xf>
    <xf numFmtId="0" fontId="43" fillId="0" borderId="0" xfId="41" applyFont="1" applyAlignment="1">
      <alignment horizontal="justify" vertical="justify" wrapText="1"/>
    </xf>
    <xf numFmtId="0" fontId="43" fillId="0" borderId="0" xfId="41" applyFont="1" applyAlignment="1">
      <alignment horizontal="left" vertical="center" wrapText="1"/>
    </xf>
    <xf numFmtId="0" fontId="43" fillId="0" borderId="0" xfId="41" applyFont="1" applyAlignment="1">
      <alignment horizontal="left" vertical="justify" wrapText="1"/>
    </xf>
    <xf numFmtId="0" fontId="43" fillId="0" borderId="0" xfId="41" applyFont="1" applyAlignment="1">
      <alignment horizontal="center" vertical="center"/>
    </xf>
    <xf numFmtId="0" fontId="42" fillId="0" borderId="0" xfId="41" applyFont="1" applyAlignment="1">
      <alignment horizontal="center"/>
    </xf>
    <xf numFmtId="0" fontId="7" fillId="0" borderId="33" xfId="41" applyBorder="1" applyAlignment="1">
      <alignment horizontal="center" vertical="center"/>
    </xf>
    <xf numFmtId="0" fontId="7" fillId="0" borderId="8" xfId="41" applyBorder="1" applyAlignment="1">
      <alignment horizontal="center" vertical="center"/>
    </xf>
    <xf numFmtId="0" fontId="48" fillId="0" borderId="0" xfId="41" applyFont="1" applyAlignment="1">
      <alignment horizontal="center"/>
    </xf>
    <xf numFmtId="0" fontId="47" fillId="0" borderId="0" xfId="41" applyFont="1" applyAlignment="1">
      <alignment horizontal="center"/>
    </xf>
    <xf numFmtId="0" fontId="43" fillId="0" borderId="0" xfId="41" applyFont="1" applyAlignment="1">
      <alignment horizontal="left"/>
    </xf>
    <xf numFmtId="0" fontId="34" fillId="0" borderId="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49" fontId="38" fillId="7" borderId="2" xfId="0" applyNumberFormat="1" applyFont="1" applyFill="1" applyBorder="1" applyAlignment="1">
      <alignment horizontal="center" vertical="center" wrapText="1"/>
    </xf>
    <xf numFmtId="49" fontId="38" fillId="7" borderId="5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4" fillId="6" borderId="29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/>
    </xf>
    <xf numFmtId="0" fontId="33" fillId="0" borderId="29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center" vertical="center" wrapText="1"/>
    </xf>
    <xf numFmtId="0" fontId="34" fillId="32" borderId="2" xfId="0" applyFont="1" applyFill="1" applyBorder="1" applyAlignment="1">
      <alignment horizontal="center" vertical="center" wrapText="1"/>
    </xf>
    <xf numFmtId="0" fontId="34" fillId="32" borderId="6" xfId="0" applyFont="1" applyFill="1" applyBorder="1" applyAlignment="1">
      <alignment horizontal="center" vertical="center" wrapText="1"/>
    </xf>
    <xf numFmtId="0" fontId="34" fillId="32" borderId="5" xfId="0" applyFont="1" applyFill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 wrapText="1"/>
    </xf>
    <xf numFmtId="164" fontId="33" fillId="0" borderId="5" xfId="0" applyNumberFormat="1" applyFont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/>
    </xf>
    <xf numFmtId="164" fontId="33" fillId="0" borderId="5" xfId="0" applyNumberFormat="1" applyFont="1" applyBorder="1" applyAlignment="1">
      <alignment horizontal="center" vertical="center"/>
    </xf>
    <xf numFmtId="164" fontId="34" fillId="7" borderId="30" xfId="0" applyNumberFormat="1" applyFont="1" applyFill="1" applyBorder="1" applyAlignment="1">
      <alignment horizontal="center" vertical="center"/>
    </xf>
    <xf numFmtId="164" fontId="34" fillId="7" borderId="32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33" borderId="2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center" vertical="center" wrapText="1"/>
    </xf>
    <xf numFmtId="0" fontId="34" fillId="33" borderId="5" xfId="0" applyFont="1" applyFill="1" applyBorder="1" applyAlignment="1">
      <alignment horizontal="center" vertical="center" wrapText="1"/>
    </xf>
    <xf numFmtId="0" fontId="34" fillId="32" borderId="2" xfId="0" applyFont="1" applyFill="1" applyBorder="1" applyAlignment="1">
      <alignment horizontal="left" vertical="center" wrapText="1"/>
    </xf>
    <xf numFmtId="0" fontId="34" fillId="32" borderId="6" xfId="0" applyFont="1" applyFill="1" applyBorder="1" applyAlignment="1">
      <alignment horizontal="left" vertical="center" wrapText="1"/>
    </xf>
    <xf numFmtId="0" fontId="34" fillId="32" borderId="5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justify" vertical="center" wrapText="1"/>
    </xf>
    <xf numFmtId="0" fontId="33" fillId="0" borderId="6" xfId="0" applyFont="1" applyBorder="1" applyAlignment="1">
      <alignment horizontal="justify" vertical="center" wrapText="1"/>
    </xf>
    <xf numFmtId="0" fontId="33" fillId="0" borderId="5" xfId="0" applyFont="1" applyBorder="1" applyAlignment="1">
      <alignment horizontal="justify" vertical="center" wrapText="1"/>
    </xf>
    <xf numFmtId="0" fontId="33" fillId="0" borderId="2" xfId="0" applyFont="1" applyBorder="1" applyAlignment="1" applyProtection="1">
      <alignment horizontal="justify" vertical="center" wrapText="1"/>
      <protection locked="0"/>
    </xf>
    <xf numFmtId="0" fontId="33" fillId="0" borderId="6" xfId="0" applyFont="1" applyBorder="1" applyAlignment="1" applyProtection="1">
      <alignment horizontal="justify" vertical="center" wrapText="1"/>
      <protection locked="0"/>
    </xf>
    <xf numFmtId="0" fontId="33" fillId="0" borderId="5" xfId="0" applyFont="1" applyBorder="1" applyAlignment="1" applyProtection="1">
      <alignment horizontal="justify" vertical="center" wrapText="1"/>
      <protection locked="0"/>
    </xf>
    <xf numFmtId="0" fontId="33" fillId="0" borderId="1" xfId="0" applyFont="1" applyBorder="1" applyAlignment="1">
      <alignment horizontal="left" vertical="center" wrapText="1"/>
    </xf>
    <xf numFmtId="164" fontId="33" fillId="7" borderId="2" xfId="0" applyNumberFormat="1" applyFont="1" applyFill="1" applyBorder="1" applyAlignment="1">
      <alignment horizontal="center" vertical="center"/>
    </xf>
    <xf numFmtId="164" fontId="33" fillId="7" borderId="5" xfId="0" applyNumberFormat="1" applyFont="1" applyFill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/>
    </xf>
    <xf numFmtId="49" fontId="33" fillId="7" borderId="5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 vertical="center"/>
    </xf>
    <xf numFmtId="0" fontId="34" fillId="30" borderId="34" xfId="0" applyFont="1" applyFill="1" applyBorder="1" applyAlignment="1">
      <alignment horizontal="center" vertical="center"/>
    </xf>
    <xf numFmtId="0" fontId="34" fillId="30" borderId="35" xfId="0" applyFont="1" applyFill="1" applyBorder="1" applyAlignment="1">
      <alignment horizontal="center" vertical="center"/>
    </xf>
    <xf numFmtId="0" fontId="34" fillId="30" borderId="36" xfId="0" applyFont="1" applyFill="1" applyBorder="1" applyAlignment="1">
      <alignment horizontal="center" vertical="center"/>
    </xf>
    <xf numFmtId="0" fontId="34" fillId="30" borderId="7" xfId="0" applyFont="1" applyFill="1" applyBorder="1" applyAlignment="1">
      <alignment horizontal="center" vertical="center"/>
    </xf>
    <xf numFmtId="0" fontId="34" fillId="30" borderId="0" xfId="0" applyFont="1" applyFill="1" applyAlignment="1">
      <alignment horizontal="center" vertical="center"/>
    </xf>
    <xf numFmtId="0" fontId="34" fillId="30" borderId="37" xfId="0" applyFont="1" applyFill="1" applyBorder="1" applyAlignment="1">
      <alignment horizontal="center" vertical="center"/>
    </xf>
    <xf numFmtId="0" fontId="34" fillId="30" borderId="38" xfId="0" applyFont="1" applyFill="1" applyBorder="1" applyAlignment="1">
      <alignment horizontal="center" vertical="center"/>
    </xf>
    <xf numFmtId="0" fontId="34" fillId="30" borderId="11" xfId="0" applyFont="1" applyFill="1" applyBorder="1" applyAlignment="1">
      <alignment horizontal="center" vertical="center"/>
    </xf>
    <xf numFmtId="0" fontId="34" fillId="30" borderId="4" xfId="0" applyFont="1" applyFill="1" applyBorder="1" applyAlignment="1">
      <alignment horizontal="center" vertical="center"/>
    </xf>
    <xf numFmtId="0" fontId="34" fillId="32" borderId="30" xfId="0" applyFont="1" applyFill="1" applyBorder="1" applyAlignment="1">
      <alignment horizontal="center" vertical="center" wrapText="1"/>
    </xf>
    <xf numFmtId="0" fontId="34" fillId="32" borderId="31" xfId="0" applyFont="1" applyFill="1" applyBorder="1" applyAlignment="1">
      <alignment horizontal="center" vertical="center"/>
    </xf>
    <xf numFmtId="0" fontId="34" fillId="32" borderId="32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33" borderId="2" xfId="0" applyFont="1" applyFill="1" applyBorder="1" applyAlignment="1">
      <alignment horizontal="center" vertical="center"/>
    </xf>
    <xf numFmtId="0" fontId="34" fillId="33" borderId="6" xfId="0" applyFont="1" applyFill="1" applyBorder="1" applyAlignment="1">
      <alignment horizontal="center" vertical="center"/>
    </xf>
    <xf numFmtId="0" fontId="34" fillId="33" borderId="5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right" vertical="center"/>
    </xf>
    <xf numFmtId="0" fontId="34" fillId="4" borderId="6" xfId="0" applyFont="1" applyFill="1" applyBorder="1" applyAlignment="1">
      <alignment horizontal="right" vertical="center"/>
    </xf>
    <xf numFmtId="0" fontId="34" fillId="4" borderId="5" xfId="0" applyFont="1" applyFill="1" applyBorder="1" applyAlignment="1">
      <alignment horizontal="right" vertical="center"/>
    </xf>
    <xf numFmtId="0" fontId="34" fillId="32" borderId="29" xfId="0" applyFont="1" applyFill="1" applyBorder="1" applyAlignment="1">
      <alignment horizontal="center" vertical="center" wrapText="1"/>
    </xf>
    <xf numFmtId="0" fontId="34" fillId="32" borderId="29" xfId="0" applyFont="1" applyFill="1" applyBorder="1" applyAlignment="1">
      <alignment horizontal="center" vertical="center"/>
    </xf>
    <xf numFmtId="0" fontId="34" fillId="32" borderId="38" xfId="0" applyFont="1" applyFill="1" applyBorder="1" applyAlignment="1">
      <alignment horizontal="left" vertical="center" wrapText="1"/>
    </xf>
    <xf numFmtId="0" fontId="34" fillId="32" borderId="11" xfId="0" applyFont="1" applyFill="1" applyBorder="1" applyAlignment="1">
      <alignment horizontal="left" vertical="center" wrapText="1"/>
    </xf>
    <xf numFmtId="0" fontId="34" fillId="32" borderId="4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3" fillId="32" borderId="2" xfId="0" applyFont="1" applyFill="1" applyBorder="1" applyAlignment="1">
      <alignment horizontal="left" vertical="center" wrapText="1"/>
    </xf>
    <xf numFmtId="0" fontId="33" fillId="32" borderId="6" xfId="0" applyFont="1" applyFill="1" applyBorder="1" applyAlignment="1">
      <alignment horizontal="left" vertical="center" wrapText="1"/>
    </xf>
    <xf numFmtId="0" fontId="33" fillId="32" borderId="5" xfId="0" applyFont="1" applyFill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4" fillId="32" borderId="2" xfId="0" applyFont="1" applyFill="1" applyBorder="1" applyAlignment="1">
      <alignment horizontal="left" vertical="center"/>
    </xf>
    <xf numFmtId="0" fontId="34" fillId="32" borderId="6" xfId="0" applyFont="1" applyFill="1" applyBorder="1" applyAlignment="1">
      <alignment horizontal="left" vertical="center"/>
    </xf>
    <xf numFmtId="0" fontId="34" fillId="32" borderId="5" xfId="0" applyFont="1" applyFill="1" applyBorder="1" applyAlignment="1">
      <alignment horizontal="left" vertical="center"/>
    </xf>
    <xf numFmtId="0" fontId="34" fillId="30" borderId="29" xfId="0" applyFont="1" applyFill="1" applyBorder="1" applyAlignment="1">
      <alignment horizontal="center" vertical="center"/>
    </xf>
    <xf numFmtId="0" fontId="34" fillId="32" borderId="1" xfId="0" applyFont="1" applyFill="1" applyBorder="1" applyAlignment="1">
      <alignment horizontal="center" vertical="center"/>
    </xf>
    <xf numFmtId="0" fontId="34" fillId="30" borderId="10" xfId="0" applyFont="1" applyFill="1" applyBorder="1" applyAlignment="1">
      <alignment horizontal="center" vertical="center" wrapText="1"/>
    </xf>
    <xf numFmtId="0" fontId="34" fillId="30" borderId="39" xfId="0" applyFont="1" applyFill="1" applyBorder="1" applyAlignment="1">
      <alignment horizontal="center" vertical="center" wrapText="1"/>
    </xf>
    <xf numFmtId="0" fontId="34" fillId="30" borderId="40" xfId="0" applyFont="1" applyFill="1" applyBorder="1" applyAlignment="1">
      <alignment horizontal="center" vertical="center" wrapText="1"/>
    </xf>
    <xf numFmtId="0" fontId="34" fillId="30" borderId="7" xfId="0" applyFont="1" applyFill="1" applyBorder="1" applyAlignment="1">
      <alignment horizontal="center" vertical="center" wrapText="1"/>
    </xf>
    <xf numFmtId="0" fontId="34" fillId="30" borderId="0" xfId="0" applyFont="1" applyFill="1" applyAlignment="1">
      <alignment horizontal="center" vertical="center" wrapText="1"/>
    </xf>
    <xf numFmtId="0" fontId="34" fillId="30" borderId="37" xfId="0" applyFont="1" applyFill="1" applyBorder="1" applyAlignment="1">
      <alignment horizontal="center" vertical="center" wrapText="1"/>
    </xf>
    <xf numFmtId="0" fontId="34" fillId="30" borderId="38" xfId="0" applyFont="1" applyFill="1" applyBorder="1" applyAlignment="1">
      <alignment horizontal="center" vertical="center" wrapText="1"/>
    </xf>
    <xf numFmtId="0" fontId="34" fillId="30" borderId="11" xfId="0" applyFont="1" applyFill="1" applyBorder="1" applyAlignment="1">
      <alignment horizontal="center" vertical="center" wrapText="1"/>
    </xf>
    <xf numFmtId="0" fontId="34" fillId="30" borderId="4" xfId="0" applyFont="1" applyFill="1" applyBorder="1" applyAlignment="1">
      <alignment horizontal="center" vertical="center" wrapText="1"/>
    </xf>
    <xf numFmtId="0" fontId="34" fillId="33" borderId="29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right" vertical="center"/>
    </xf>
    <xf numFmtId="0" fontId="34" fillId="0" borderId="6" xfId="0" applyFont="1" applyBorder="1" applyAlignment="1">
      <alignment horizontal="right" vertical="center"/>
    </xf>
    <xf numFmtId="0" fontId="34" fillId="0" borderId="5" xfId="0" applyFont="1" applyBorder="1" applyAlignment="1">
      <alignment horizontal="right" vertical="center"/>
    </xf>
    <xf numFmtId="0" fontId="37" fillId="0" borderId="2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49" fontId="34" fillId="33" borderId="2" xfId="0" applyNumberFormat="1" applyFont="1" applyFill="1" applyBorder="1" applyAlignment="1">
      <alignment horizontal="center" vertical="center" wrapText="1"/>
    </xf>
    <xf numFmtId="49" fontId="34" fillId="33" borderId="6" xfId="0" applyNumberFormat="1" applyFont="1" applyFill="1" applyBorder="1" applyAlignment="1">
      <alignment horizontal="center" vertical="center" wrapText="1"/>
    </xf>
    <xf numFmtId="49" fontId="34" fillId="33" borderId="5" xfId="0" applyNumberFormat="1" applyFont="1" applyFill="1" applyBorder="1" applyAlignment="1">
      <alignment horizontal="center" vertical="center" wrapText="1"/>
    </xf>
    <xf numFmtId="0" fontId="39" fillId="3" borderId="18" xfId="3" applyFont="1" applyFill="1" applyBorder="1" applyAlignment="1">
      <alignment horizontal="left" vertical="center" wrapText="1"/>
    </xf>
    <xf numFmtId="0" fontId="39" fillId="3" borderId="19" xfId="3" applyFont="1" applyFill="1" applyBorder="1" applyAlignment="1">
      <alignment horizontal="left" vertical="center" wrapText="1"/>
    </xf>
    <xf numFmtId="0" fontId="39" fillId="3" borderId="17" xfId="3" applyFont="1" applyFill="1" applyBorder="1" applyAlignment="1">
      <alignment horizontal="left" vertical="center" wrapText="1"/>
    </xf>
    <xf numFmtId="169" fontId="32" fillId="3" borderId="14" xfId="3" applyNumberFormat="1" applyFont="1" applyFill="1" applyBorder="1" applyAlignment="1">
      <alignment horizontal="center" vertical="center" wrapText="1"/>
    </xf>
    <xf numFmtId="169" fontId="32" fillId="3" borderId="15" xfId="3" applyNumberFormat="1" applyFont="1" applyFill="1" applyBorder="1" applyAlignment="1">
      <alignment horizontal="center" vertical="center" wrapText="1"/>
    </xf>
    <xf numFmtId="169" fontId="32" fillId="3" borderId="16" xfId="3" applyNumberFormat="1" applyFont="1" applyFill="1" applyBorder="1" applyAlignment="1">
      <alignment horizontal="center" vertical="center" wrapText="1"/>
    </xf>
    <xf numFmtId="169" fontId="30" fillId="0" borderId="18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8" fillId="33" borderId="18" xfId="3" applyFont="1" applyFill="1" applyBorder="1" applyAlignment="1">
      <alignment horizontal="center" vertical="center" wrapText="1"/>
    </xf>
    <xf numFmtId="0" fontId="38" fillId="33" borderId="19" xfId="3" applyFont="1" applyFill="1" applyBorder="1" applyAlignment="1">
      <alignment horizontal="center" vertical="center" wrapText="1"/>
    </xf>
    <xf numFmtId="0" fontId="38" fillId="33" borderId="17" xfId="3" applyFont="1" applyFill="1" applyBorder="1" applyAlignment="1">
      <alignment horizontal="center" vertical="center" wrapText="1"/>
    </xf>
    <xf numFmtId="0" fontId="38" fillId="3" borderId="18" xfId="3" applyFont="1" applyFill="1" applyBorder="1" applyAlignment="1">
      <alignment horizontal="center" vertical="center" wrapText="1"/>
    </xf>
    <xf numFmtId="0" fontId="38" fillId="3" borderId="19" xfId="3" applyFont="1" applyFill="1" applyBorder="1" applyAlignment="1">
      <alignment horizontal="center" vertical="center" wrapText="1"/>
    </xf>
    <xf numFmtId="0" fontId="38" fillId="3" borderId="17" xfId="3" applyFont="1" applyFill="1" applyBorder="1" applyAlignment="1">
      <alignment horizontal="center" vertical="center" wrapText="1"/>
    </xf>
    <xf numFmtId="10" fontId="39" fillId="3" borderId="18" xfId="45" applyNumberFormat="1" applyFont="1" applyFill="1" applyBorder="1" applyAlignment="1" applyProtection="1">
      <alignment horizontal="center" vertical="center" wrapText="1"/>
      <protection locked="0"/>
    </xf>
    <xf numFmtId="10" fontId="39" fillId="3" borderId="17" xfId="45" applyNumberFormat="1" applyFont="1" applyFill="1" applyBorder="1" applyAlignment="1" applyProtection="1">
      <alignment horizontal="center" vertical="center" wrapText="1"/>
      <protection locked="0"/>
    </xf>
    <xf numFmtId="49" fontId="34" fillId="4" borderId="2" xfId="0" applyNumberFormat="1" applyFont="1" applyFill="1" applyBorder="1" applyAlignment="1">
      <alignment horizontal="center" vertical="center" wrapText="1"/>
    </xf>
    <xf numFmtId="49" fontId="34" fillId="4" borderId="6" xfId="0" applyNumberFormat="1" applyFont="1" applyFill="1" applyBorder="1" applyAlignment="1">
      <alignment horizontal="center" vertical="center" wrapText="1"/>
    </xf>
    <xf numFmtId="49" fontId="34" fillId="4" borderId="5" xfId="0" applyNumberFormat="1" applyFont="1" applyFill="1" applyBorder="1" applyAlignment="1">
      <alignment horizontal="center" vertical="center" wrapText="1"/>
    </xf>
    <xf numFmtId="49" fontId="34" fillId="4" borderId="30" xfId="0" applyNumberFormat="1" applyFont="1" applyFill="1" applyBorder="1" applyAlignment="1">
      <alignment horizontal="center" vertical="center" wrapText="1"/>
    </xf>
    <xf numFmtId="49" fontId="34" fillId="4" borderId="31" xfId="0" applyNumberFormat="1" applyFont="1" applyFill="1" applyBorder="1" applyAlignment="1">
      <alignment horizontal="center" vertical="center" wrapText="1"/>
    </xf>
    <xf numFmtId="49" fontId="34" fillId="4" borderId="32" xfId="0" applyNumberFormat="1" applyFont="1" applyFill="1" applyBorder="1" applyAlignment="1">
      <alignment horizontal="center" vertical="center" wrapText="1"/>
    </xf>
    <xf numFmtId="0" fontId="38" fillId="33" borderId="33" xfId="3" applyFont="1" applyFill="1" applyBorder="1" applyAlignment="1">
      <alignment horizontal="center" vertical="center" wrapText="1"/>
    </xf>
    <xf numFmtId="0" fontId="31" fillId="3" borderId="14" xfId="3" applyFont="1" applyFill="1" applyBorder="1" applyAlignment="1">
      <alignment horizontal="center" vertical="center" wrapText="1"/>
    </xf>
    <xf numFmtId="0" fontId="31" fillId="3" borderId="15" xfId="3" applyFont="1" applyFill="1" applyBorder="1" applyAlignment="1">
      <alignment horizontal="center" vertical="center" wrapText="1"/>
    </xf>
    <xf numFmtId="0" fontId="31" fillId="3" borderId="16" xfId="3" applyFont="1" applyFill="1" applyBorder="1" applyAlignment="1">
      <alignment horizontal="center" vertical="center" wrapText="1"/>
    </xf>
    <xf numFmtId="0" fontId="31" fillId="3" borderId="18" xfId="3" applyFont="1" applyFill="1" applyBorder="1" applyAlignment="1">
      <alignment horizontal="center" vertical="center" wrapText="1"/>
    </xf>
    <xf numFmtId="0" fontId="31" fillId="3" borderId="17" xfId="3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</cellXfs>
  <cellStyles count="60">
    <cellStyle name="20% - Ênfase1 2" xfId="4"/>
    <cellStyle name="20% - Ênfase2 2" xfId="5"/>
    <cellStyle name="20% - Ênfase3 2" xfId="6"/>
    <cellStyle name="20% - Ênfase4 2" xfId="7"/>
    <cellStyle name="20% - Ênfase5 2" xfId="8"/>
    <cellStyle name="20% - Ênfase6 2" xfId="9"/>
    <cellStyle name="40% - Ênfase1 2" xfId="10"/>
    <cellStyle name="40% - Ênfase2 2" xfId="11"/>
    <cellStyle name="40% - Ênfase3 2" xfId="12"/>
    <cellStyle name="40% - Ênfase4 2" xfId="13"/>
    <cellStyle name="40% - Ênfase5 2" xfId="14"/>
    <cellStyle name="40% - Ênfase6 2" xfId="15"/>
    <cellStyle name="60% - Ênfase1 2" xfId="16"/>
    <cellStyle name="60% - Ênfase2 2" xfId="17"/>
    <cellStyle name="60% - Ênfase3 2" xfId="18"/>
    <cellStyle name="60% - Ênfase4 2" xfId="19"/>
    <cellStyle name="60% - Ênfase5 2" xfId="20"/>
    <cellStyle name="60% - Ênfase6 2" xfId="21"/>
    <cellStyle name="Bom 2" xfId="22"/>
    <cellStyle name="Cálculo 2" xfId="23"/>
    <cellStyle name="Célula de Verificação 2" xfId="24"/>
    <cellStyle name="Célula Vinculada 2" xfId="25"/>
    <cellStyle name="Ênfase1 2" xfId="26"/>
    <cellStyle name="Ênfase2 2" xfId="27"/>
    <cellStyle name="Ênfase3 2" xfId="28"/>
    <cellStyle name="Ênfase4 2" xfId="29"/>
    <cellStyle name="Ênfase5 2" xfId="30"/>
    <cellStyle name="Ênfase6 2" xfId="31"/>
    <cellStyle name="Entrada 2" xfId="32"/>
    <cellStyle name="Incorreto 2" xfId="33"/>
    <cellStyle name="Moeda" xfId="1" builtinId="4"/>
    <cellStyle name="Moeda 2" xfId="35"/>
    <cellStyle name="Moeda 3" xfId="36"/>
    <cellStyle name="Moeda 4" xfId="37"/>
    <cellStyle name="Moeda 5" xfId="34"/>
    <cellStyle name="Neutra 2" xfId="38"/>
    <cellStyle name="Normal" xfId="0" builtinId="0"/>
    <cellStyle name="Normal 2" xfId="39"/>
    <cellStyle name="Normal 2 2" xfId="40"/>
    <cellStyle name="Normal 3" xfId="41"/>
    <cellStyle name="Normal 4" xfId="42"/>
    <cellStyle name="Normal 5" xfId="43"/>
    <cellStyle name="Normal 6" xfId="3"/>
    <cellStyle name="Normal 7" xfId="59"/>
    <cellStyle name="Nota 2" xfId="44"/>
    <cellStyle name="Porcentagem" xfId="2" builtinId="5"/>
    <cellStyle name="Porcentagem 2" xfId="46"/>
    <cellStyle name="Porcentagem 3" xfId="47"/>
    <cellStyle name="Porcentagem 4" xfId="45"/>
    <cellStyle name="Saída 2" xfId="48"/>
    <cellStyle name="Separador de milhares 2" xfId="49"/>
    <cellStyle name="Texto de Aviso 2" xfId="50"/>
    <cellStyle name="Texto Explicativo 2" xfId="51"/>
    <cellStyle name="Título 1 2" xfId="52"/>
    <cellStyle name="Título 2 2" xfId="53"/>
    <cellStyle name="Título 3 2" xfId="54"/>
    <cellStyle name="Título 4 2" xfId="55"/>
    <cellStyle name="Título 5" xfId="56"/>
    <cellStyle name="Total 2" xfId="57"/>
    <cellStyle name="Vírgula 2" xfId="5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51"/>
  <sheetViews>
    <sheetView showGridLines="0" tabSelected="1" view="pageBreakPreview" topLeftCell="A16" zoomScaleNormal="100" zoomScaleSheetLayoutView="100" workbookViewId="0">
      <selection activeCell="C23" sqref="C23"/>
    </sheetView>
  </sheetViews>
  <sheetFormatPr defaultColWidth="9.140625" defaultRowHeight="12.75" x14ac:dyDescent="0.2"/>
  <cols>
    <col min="1" max="1" width="9.140625" style="69"/>
    <col min="2" max="2" width="9.140625" style="69" customWidth="1"/>
    <col min="3" max="3" width="42.42578125" style="69" customWidth="1"/>
    <col min="4" max="4" width="15.7109375" style="69" customWidth="1"/>
    <col min="5" max="6" width="18.7109375" style="69" customWidth="1"/>
    <col min="7" max="7" width="16.7109375" style="69" customWidth="1"/>
    <col min="8" max="8" width="17.7109375" style="69" customWidth="1"/>
    <col min="9" max="9" width="16.7109375" style="69" bestFit="1" customWidth="1"/>
    <col min="10" max="10" width="18.5703125" style="69" customWidth="1"/>
    <col min="11" max="12" width="9.140625" style="69"/>
    <col min="13" max="13" width="16.7109375" style="69" bestFit="1" customWidth="1"/>
    <col min="14" max="16384" width="9.140625" style="69"/>
  </cols>
  <sheetData>
    <row r="3" spans="2:9" ht="18" x14ac:dyDescent="0.25">
      <c r="C3" s="173" t="s">
        <v>148</v>
      </c>
      <c r="D3" s="174"/>
      <c r="E3" s="174"/>
      <c r="F3" s="107"/>
    </row>
    <row r="4" spans="2:9" ht="21" x14ac:dyDescent="0.2">
      <c r="B4" s="71"/>
      <c r="C4" s="161" t="s">
        <v>147</v>
      </c>
      <c r="D4" s="161"/>
      <c r="E4" s="161"/>
      <c r="F4" s="109"/>
      <c r="G4" s="71"/>
      <c r="H4" s="71"/>
      <c r="I4" s="71"/>
    </row>
    <row r="5" spans="2:9" ht="21" x14ac:dyDescent="0.2">
      <c r="B5" s="71"/>
      <c r="C5" s="161"/>
      <c r="D5" s="161"/>
      <c r="E5" s="161"/>
      <c r="F5" s="109"/>
      <c r="G5" s="71"/>
      <c r="H5" s="71"/>
      <c r="I5" s="71"/>
    </row>
    <row r="6" spans="2:9" ht="38.25" customHeight="1" x14ac:dyDescent="0.2">
      <c r="B6" s="71"/>
      <c r="C6" s="161"/>
      <c r="D6" s="161"/>
      <c r="E6" s="161"/>
      <c r="F6" s="109"/>
      <c r="G6" s="71"/>
      <c r="H6" s="71"/>
      <c r="I6" s="71"/>
    </row>
    <row r="7" spans="2:9" x14ac:dyDescent="0.2">
      <c r="B7" s="162" t="s">
        <v>146</v>
      </c>
      <c r="C7" s="162"/>
      <c r="D7" s="162"/>
      <c r="E7" s="81"/>
      <c r="F7" s="81"/>
      <c r="G7" s="71"/>
      <c r="H7" s="71"/>
      <c r="I7" s="71"/>
    </row>
    <row r="8" spans="2:9" x14ac:dyDescent="0.2">
      <c r="B8" s="163" t="s">
        <v>145</v>
      </c>
      <c r="C8" s="162"/>
      <c r="D8" s="81"/>
      <c r="E8" s="81"/>
      <c r="F8" s="81"/>
      <c r="G8" s="71"/>
      <c r="H8" s="71"/>
      <c r="I8" s="71"/>
    </row>
    <row r="9" spans="2:9" x14ac:dyDescent="0.2">
      <c r="B9" s="163" t="s">
        <v>144</v>
      </c>
      <c r="C9" s="162"/>
      <c r="D9" s="81"/>
      <c r="E9" s="81"/>
      <c r="F9" s="81"/>
      <c r="G9" s="71"/>
      <c r="H9" s="71"/>
      <c r="I9" s="71"/>
    </row>
    <row r="10" spans="2:9" x14ac:dyDescent="0.2">
      <c r="B10" s="163" t="s">
        <v>150</v>
      </c>
      <c r="C10" s="162"/>
      <c r="D10" s="81"/>
      <c r="E10" s="81"/>
      <c r="F10" s="81"/>
      <c r="G10" s="71"/>
      <c r="H10" s="71"/>
      <c r="I10" s="71"/>
    </row>
    <row r="11" spans="2:9" x14ac:dyDescent="0.2">
      <c r="B11" s="163" t="s">
        <v>143</v>
      </c>
      <c r="C11" s="162"/>
      <c r="D11" s="162"/>
      <c r="E11" s="162"/>
      <c r="F11" s="81"/>
      <c r="G11" s="71"/>
      <c r="H11" s="71"/>
      <c r="I11" s="71"/>
    </row>
    <row r="12" spans="2:9" x14ac:dyDescent="0.2">
      <c r="B12" s="163" t="s">
        <v>142</v>
      </c>
      <c r="C12" s="162"/>
      <c r="D12" s="81"/>
      <c r="E12" s="81"/>
      <c r="F12" s="81"/>
      <c r="G12" s="71"/>
      <c r="H12" s="71"/>
      <c r="I12" s="71"/>
    </row>
    <row r="13" spans="2:9" x14ac:dyDescent="0.2">
      <c r="B13" s="163" t="s">
        <v>141</v>
      </c>
      <c r="C13" s="162"/>
      <c r="D13" s="81"/>
      <c r="E13" s="81"/>
      <c r="F13" s="81"/>
      <c r="G13" s="71"/>
      <c r="H13" s="71"/>
      <c r="I13" s="71"/>
    </row>
    <row r="14" spans="2:9" x14ac:dyDescent="0.2">
      <c r="B14" s="162" t="s">
        <v>140</v>
      </c>
      <c r="C14" s="162"/>
      <c r="D14" s="81"/>
      <c r="E14" s="81"/>
      <c r="F14" s="81"/>
      <c r="G14" s="71"/>
      <c r="H14" s="71"/>
      <c r="I14" s="71"/>
    </row>
    <row r="15" spans="2:9" x14ac:dyDescent="0.2">
      <c r="B15" s="163" t="s">
        <v>139</v>
      </c>
      <c r="C15" s="162"/>
      <c r="D15" s="81"/>
      <c r="E15" s="81"/>
      <c r="F15" s="81"/>
      <c r="G15" s="71"/>
      <c r="H15" s="71"/>
      <c r="I15" s="71"/>
    </row>
    <row r="16" spans="2:9" x14ac:dyDescent="0.2">
      <c r="B16" s="163" t="s">
        <v>138</v>
      </c>
      <c r="C16" s="162"/>
      <c r="D16" s="81"/>
      <c r="E16" s="81"/>
      <c r="F16" s="81"/>
      <c r="G16" s="71"/>
      <c r="H16" s="71"/>
      <c r="I16" s="71"/>
    </row>
    <row r="17" spans="1:9" x14ac:dyDescent="0.2">
      <c r="B17" s="175" t="s">
        <v>137</v>
      </c>
      <c r="C17" s="175"/>
      <c r="D17" s="81"/>
      <c r="E17" s="81"/>
      <c r="F17" s="81"/>
      <c r="G17" s="71"/>
      <c r="H17" s="71"/>
      <c r="I17" s="71"/>
    </row>
    <row r="18" spans="1:9" x14ac:dyDescent="0.2">
      <c r="B18" s="163" t="s">
        <v>136</v>
      </c>
      <c r="C18" s="162"/>
      <c r="D18" s="162"/>
      <c r="E18" s="81"/>
      <c r="F18" s="81"/>
      <c r="G18" s="71"/>
      <c r="H18" s="71"/>
      <c r="I18" s="71"/>
    </row>
    <row r="19" spans="1:9" x14ac:dyDescent="0.2">
      <c r="B19" s="71"/>
      <c r="C19" s="71"/>
      <c r="D19" s="71"/>
      <c r="E19" s="71"/>
      <c r="F19" s="71"/>
      <c r="G19" s="71"/>
      <c r="H19" s="71"/>
      <c r="I19" s="71"/>
    </row>
    <row r="20" spans="1:9" x14ac:dyDescent="0.2">
      <c r="B20" s="71"/>
      <c r="C20" s="71"/>
      <c r="D20" s="71"/>
      <c r="E20" s="71"/>
      <c r="F20" s="71"/>
      <c r="G20" s="71"/>
      <c r="H20" s="71"/>
      <c r="I20" s="71"/>
    </row>
    <row r="21" spans="1:9" ht="49.5" customHeight="1" x14ac:dyDescent="0.2">
      <c r="A21" s="83" t="s">
        <v>135</v>
      </c>
      <c r="B21" s="120" t="s">
        <v>85</v>
      </c>
      <c r="C21" s="80" t="s">
        <v>82</v>
      </c>
      <c r="D21" s="80" t="s">
        <v>134</v>
      </c>
      <c r="E21" s="80" t="s">
        <v>158</v>
      </c>
      <c r="F21" s="115" t="s">
        <v>159</v>
      </c>
      <c r="G21" s="80" t="s">
        <v>133</v>
      </c>
      <c r="H21" s="80" t="s">
        <v>181</v>
      </c>
      <c r="I21" s="71"/>
    </row>
    <row r="22" spans="1:9" ht="67.5" x14ac:dyDescent="0.2">
      <c r="A22" s="171">
        <v>1</v>
      </c>
      <c r="B22" s="120">
        <v>1</v>
      </c>
      <c r="C22" s="114" t="s">
        <v>190</v>
      </c>
      <c r="D22" s="82" t="s">
        <v>151</v>
      </c>
      <c r="E22" s="82">
        <v>1</v>
      </c>
      <c r="F22" s="82">
        <v>2</v>
      </c>
      <c r="G22" s="77">
        <f>'12X36 DIURNO '!F142</f>
        <v>20103.96</v>
      </c>
      <c r="H22" s="77">
        <f>G22*12</f>
        <v>241247.52</v>
      </c>
      <c r="I22" s="71"/>
    </row>
    <row r="23" spans="1:9" ht="67.5" x14ac:dyDescent="0.2">
      <c r="A23" s="172"/>
      <c r="B23" s="120">
        <v>2</v>
      </c>
      <c r="C23" s="114" t="s">
        <v>189</v>
      </c>
      <c r="D23" s="82" t="s">
        <v>151</v>
      </c>
      <c r="E23" s="82">
        <v>1</v>
      </c>
      <c r="F23" s="82">
        <v>4</v>
      </c>
      <c r="G23" s="77">
        <f>'12X36 NOTURNO'!F142</f>
        <v>54017.2</v>
      </c>
      <c r="H23" s="77">
        <f>G23*12</f>
        <v>648206.4</v>
      </c>
      <c r="I23" s="71"/>
    </row>
    <row r="24" spans="1:9" ht="56.25" x14ac:dyDescent="0.2">
      <c r="A24" s="172"/>
      <c r="B24" s="120">
        <v>3</v>
      </c>
      <c r="C24" s="114" t="s">
        <v>198</v>
      </c>
      <c r="D24" s="82" t="s">
        <v>151</v>
      </c>
      <c r="E24" s="82">
        <v>1</v>
      </c>
      <c r="F24" s="82">
        <v>1</v>
      </c>
      <c r="G24" s="77">
        <f>'44 HR  SEMANAIS LIDER'!F142</f>
        <v>9692.16</v>
      </c>
      <c r="H24" s="77">
        <f>G24*12</f>
        <v>116305.92</v>
      </c>
      <c r="I24" s="71"/>
    </row>
    <row r="25" spans="1:9" ht="56.25" x14ac:dyDescent="0.2">
      <c r="A25" s="172"/>
      <c r="B25" s="120">
        <v>8</v>
      </c>
      <c r="C25" s="114" t="s">
        <v>197</v>
      </c>
      <c r="D25" s="82" t="s">
        <v>151</v>
      </c>
      <c r="E25" s="82">
        <v>1</v>
      </c>
      <c r="F25" s="82">
        <v>1</v>
      </c>
      <c r="G25" s="77">
        <f>'44 HR  SEMANAIS'!F142</f>
        <v>7709.34</v>
      </c>
      <c r="H25" s="77">
        <f>G25*12</f>
        <v>92512.08</v>
      </c>
      <c r="I25" s="71"/>
    </row>
    <row r="26" spans="1:9" ht="30.75" customHeight="1" x14ac:dyDescent="0.2">
      <c r="A26" s="79"/>
      <c r="B26" s="78"/>
      <c r="C26" s="158" t="s">
        <v>152</v>
      </c>
      <c r="D26" s="159"/>
      <c r="E26" s="160"/>
      <c r="F26" s="108"/>
      <c r="G26" s="116">
        <f>SUM(G22:G25)</f>
        <v>91522.66</v>
      </c>
      <c r="H26" s="77">
        <f>'PROPOSTA RESUMO'!G26*12</f>
        <v>1098271.92</v>
      </c>
      <c r="I26" s="76"/>
    </row>
    <row r="27" spans="1:9" ht="15.75" x14ac:dyDescent="0.25">
      <c r="B27" s="71"/>
      <c r="C27" s="165" t="s">
        <v>149</v>
      </c>
      <c r="D27" s="165"/>
      <c r="E27" s="165"/>
      <c r="F27" s="165"/>
      <c r="G27" s="165"/>
      <c r="H27" s="75">
        <f>G26</f>
        <v>91522.66</v>
      </c>
      <c r="I27" s="71"/>
    </row>
    <row r="28" spans="1:9" ht="15.75" x14ac:dyDescent="0.25">
      <c r="B28" s="71"/>
      <c r="C28" s="165" t="s">
        <v>167</v>
      </c>
      <c r="D28" s="165"/>
      <c r="E28" s="165"/>
      <c r="F28" s="165"/>
      <c r="G28" s="165"/>
      <c r="H28" s="75">
        <f>H26</f>
        <v>1098271.92</v>
      </c>
      <c r="I28" s="71"/>
    </row>
    <row r="29" spans="1:9" x14ac:dyDescent="0.2">
      <c r="B29" s="71"/>
      <c r="C29" s="71"/>
      <c r="D29" s="71"/>
      <c r="E29" s="71"/>
      <c r="F29" s="71"/>
      <c r="G29" s="71"/>
      <c r="H29" s="71"/>
      <c r="I29" s="71"/>
    </row>
    <row r="30" spans="1:9" ht="37.5" customHeight="1" x14ac:dyDescent="0.2">
      <c r="B30" s="166" t="s">
        <v>132</v>
      </c>
      <c r="C30" s="166"/>
      <c r="D30" s="166"/>
      <c r="E30" s="166"/>
      <c r="F30" s="166"/>
      <c r="G30" s="166"/>
      <c r="H30" s="71"/>
      <c r="I30" s="71"/>
    </row>
    <row r="31" spans="1:9" ht="24.75" customHeight="1" x14ac:dyDescent="0.2">
      <c r="B31" s="166" t="s">
        <v>131</v>
      </c>
      <c r="C31" s="166"/>
      <c r="D31" s="166"/>
      <c r="E31" s="166"/>
      <c r="F31" s="166"/>
      <c r="G31" s="166"/>
      <c r="H31" s="71"/>
      <c r="I31" s="71"/>
    </row>
    <row r="32" spans="1:9" ht="40.5" customHeight="1" x14ac:dyDescent="0.2">
      <c r="B32" s="167" t="s">
        <v>130</v>
      </c>
      <c r="C32" s="167"/>
      <c r="D32" s="167"/>
      <c r="E32" s="167"/>
      <c r="F32" s="167"/>
      <c r="G32" s="167"/>
      <c r="H32" s="71"/>
      <c r="I32" s="71"/>
    </row>
    <row r="33" spans="2:9" ht="27.75" customHeight="1" x14ac:dyDescent="0.2">
      <c r="B33" s="168" t="s">
        <v>129</v>
      </c>
      <c r="C33" s="168"/>
      <c r="D33" s="168"/>
      <c r="E33" s="168"/>
      <c r="F33" s="168"/>
      <c r="G33" s="168"/>
      <c r="H33" s="71"/>
      <c r="I33" s="71"/>
    </row>
    <row r="34" spans="2:9" ht="55.5" customHeight="1" x14ac:dyDescent="0.2">
      <c r="B34" s="168" t="s">
        <v>128</v>
      </c>
      <c r="C34" s="168"/>
      <c r="D34" s="168"/>
      <c r="E34" s="168"/>
      <c r="F34" s="168"/>
      <c r="G34" s="168"/>
      <c r="H34" s="71"/>
      <c r="I34" s="71"/>
    </row>
    <row r="35" spans="2:9" x14ac:dyDescent="0.2">
      <c r="B35" s="71"/>
      <c r="C35" s="74"/>
      <c r="D35" s="74"/>
      <c r="E35" s="74"/>
      <c r="F35" s="74"/>
      <c r="G35" s="71"/>
      <c r="H35" s="71"/>
      <c r="I35" s="71"/>
    </row>
    <row r="36" spans="2:9" x14ac:dyDescent="0.2">
      <c r="B36" s="71"/>
      <c r="C36" s="170" t="s">
        <v>127</v>
      </c>
      <c r="D36" s="170"/>
      <c r="E36" s="170"/>
      <c r="F36" s="73"/>
      <c r="G36" s="71"/>
      <c r="H36" s="71"/>
      <c r="I36" s="71"/>
    </row>
    <row r="37" spans="2:9" x14ac:dyDescent="0.2">
      <c r="B37" s="71"/>
      <c r="C37" s="73"/>
      <c r="D37" s="73"/>
      <c r="E37" s="73"/>
      <c r="F37" s="73"/>
      <c r="G37" s="71"/>
      <c r="H37" s="71"/>
      <c r="I37" s="71"/>
    </row>
    <row r="38" spans="2:9" ht="3" customHeight="1" x14ac:dyDescent="0.2">
      <c r="B38" s="71"/>
      <c r="C38" s="73"/>
      <c r="D38" s="73"/>
      <c r="E38" s="73"/>
      <c r="F38" s="73"/>
      <c r="G38" s="71"/>
      <c r="H38" s="71"/>
      <c r="I38" s="71"/>
    </row>
    <row r="39" spans="2:9" ht="16.5" hidden="1" customHeight="1" x14ac:dyDescent="0.2">
      <c r="B39" s="71"/>
      <c r="C39" s="71"/>
      <c r="D39" s="71"/>
      <c r="E39" s="71"/>
      <c r="F39" s="71"/>
      <c r="G39" s="71"/>
      <c r="H39" s="71"/>
      <c r="I39" s="71"/>
    </row>
    <row r="40" spans="2:9" x14ac:dyDescent="0.2">
      <c r="B40" s="71"/>
      <c r="C40" s="169" t="s">
        <v>126</v>
      </c>
      <c r="D40" s="169"/>
      <c r="E40" s="169"/>
      <c r="F40" s="111"/>
      <c r="G40" s="71"/>
      <c r="H40" s="71"/>
      <c r="I40" s="71"/>
    </row>
    <row r="41" spans="2:9" x14ac:dyDescent="0.2">
      <c r="B41" s="71"/>
      <c r="C41" s="169" t="s">
        <v>125</v>
      </c>
      <c r="D41" s="169"/>
      <c r="E41" s="169"/>
      <c r="F41" s="111"/>
      <c r="G41" s="71"/>
      <c r="H41" s="71"/>
      <c r="I41" s="71"/>
    </row>
    <row r="42" spans="2:9" x14ac:dyDescent="0.2">
      <c r="B42" s="71"/>
      <c r="C42" s="72"/>
      <c r="D42" s="72"/>
      <c r="E42" s="72"/>
      <c r="F42" s="72"/>
      <c r="G42" s="71"/>
      <c r="H42" s="71"/>
      <c r="I42" s="71"/>
    </row>
    <row r="43" spans="2:9" x14ac:dyDescent="0.2">
      <c r="B43" s="71"/>
      <c r="C43" s="72"/>
      <c r="D43" s="72"/>
      <c r="E43" s="72"/>
      <c r="F43" s="72"/>
      <c r="G43" s="71"/>
      <c r="H43" s="71"/>
      <c r="I43" s="71"/>
    </row>
    <row r="44" spans="2:9" x14ac:dyDescent="0.2">
      <c r="B44" s="71"/>
      <c r="C44" s="72"/>
      <c r="D44" s="72"/>
      <c r="E44" s="72"/>
      <c r="F44" s="72"/>
      <c r="G44" s="71"/>
      <c r="H44" s="71"/>
      <c r="I44" s="71"/>
    </row>
    <row r="45" spans="2:9" x14ac:dyDescent="0.2">
      <c r="C45" s="70"/>
      <c r="D45" s="70"/>
      <c r="E45" s="70"/>
      <c r="F45" s="70"/>
    </row>
    <row r="46" spans="2:9" x14ac:dyDescent="0.2">
      <c r="C46" s="70"/>
      <c r="D46" s="70"/>
      <c r="E46" s="70"/>
      <c r="F46" s="70"/>
    </row>
    <row r="47" spans="2:9" x14ac:dyDescent="0.2">
      <c r="C47" s="70"/>
      <c r="D47" s="70"/>
      <c r="E47" s="70"/>
      <c r="F47" s="70"/>
    </row>
    <row r="48" spans="2:9" x14ac:dyDescent="0.2">
      <c r="C48" s="164"/>
      <c r="D48" s="164"/>
      <c r="E48" s="164"/>
      <c r="F48" s="110"/>
    </row>
    <row r="49" spans="5:6" x14ac:dyDescent="0.2">
      <c r="E49" s="70"/>
      <c r="F49" s="70"/>
    </row>
    <row r="50" spans="5:6" x14ac:dyDescent="0.2">
      <c r="E50" s="70"/>
      <c r="F50" s="70"/>
    </row>
    <row r="51" spans="5:6" x14ac:dyDescent="0.2">
      <c r="E51" s="70"/>
      <c r="F51" s="70"/>
    </row>
  </sheetData>
  <sheetProtection selectLockedCells="1" selectUnlockedCells="1"/>
  <mergeCells count="27">
    <mergeCell ref="A22:A25"/>
    <mergeCell ref="C3:E3"/>
    <mergeCell ref="B12:C12"/>
    <mergeCell ref="B13:C13"/>
    <mergeCell ref="B9:C9"/>
    <mergeCell ref="B10:C10"/>
    <mergeCell ref="B11:E11"/>
    <mergeCell ref="B14:C14"/>
    <mergeCell ref="B15:C15"/>
    <mergeCell ref="B16:C16"/>
    <mergeCell ref="B17:C17"/>
    <mergeCell ref="B18:D18"/>
    <mergeCell ref="C26:E26"/>
    <mergeCell ref="C4:E6"/>
    <mergeCell ref="B7:D7"/>
    <mergeCell ref="B8:C8"/>
    <mergeCell ref="C48:E48"/>
    <mergeCell ref="C27:G27"/>
    <mergeCell ref="C28:G28"/>
    <mergeCell ref="B30:G30"/>
    <mergeCell ref="B31:G31"/>
    <mergeCell ref="B32:G32"/>
    <mergeCell ref="B33:G33"/>
    <mergeCell ref="C41:E41"/>
    <mergeCell ref="B34:G34"/>
    <mergeCell ref="C36:E36"/>
    <mergeCell ref="C40:E40"/>
  </mergeCells>
  <pageMargins left="0.51181102362204722" right="0.51181102362204722" top="0.78740157480314965" bottom="0.78740157480314965" header="0.31496062992125984" footer="0.31496062992125984"/>
  <pageSetup paperSize="9" scale="55" orientation="portrait" r:id="rId1"/>
  <rowBreaks count="1" manualBreakCount="1">
    <brk id="51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3"/>
  <sheetViews>
    <sheetView topLeftCell="A118" zoomScale="110" zoomScaleNormal="110" zoomScaleSheetLayoutView="100" workbookViewId="0">
      <selection activeCell="C137" sqref="C137"/>
    </sheetView>
  </sheetViews>
  <sheetFormatPr defaultColWidth="12.28515625" defaultRowHeight="12.75" x14ac:dyDescent="0.2"/>
  <cols>
    <col min="1" max="1" width="13.7109375" customWidth="1"/>
    <col min="2" max="2" width="13.7109375" bestFit="1" customWidth="1"/>
    <col min="3" max="3" width="14" customWidth="1"/>
    <col min="4" max="4" width="14.7109375" customWidth="1"/>
    <col min="5" max="5" width="12.42578125" bestFit="1" customWidth="1"/>
    <col min="6" max="6" width="14.5703125" customWidth="1"/>
    <col min="8" max="8" width="13.28515625" customWidth="1"/>
    <col min="9" max="9" width="23.85546875" style="1" customWidth="1"/>
  </cols>
  <sheetData>
    <row r="1" spans="1:9" ht="25.5" customHeight="1" x14ac:dyDescent="0.2">
      <c r="A1" s="188" t="s">
        <v>163</v>
      </c>
      <c r="B1" s="189"/>
      <c r="C1" s="189"/>
      <c r="D1" s="189"/>
      <c r="E1" s="189"/>
      <c r="F1" s="189"/>
      <c r="G1" s="189"/>
      <c r="H1" s="189"/>
      <c r="I1" s="189"/>
    </row>
    <row r="2" spans="1:9" ht="12.75" customHeight="1" x14ac:dyDescent="0.2">
      <c r="A2" s="190" t="s">
        <v>185</v>
      </c>
      <c r="B2" s="190"/>
      <c r="C2" s="190"/>
      <c r="D2" s="190"/>
      <c r="E2" s="190"/>
      <c r="F2" s="190"/>
      <c r="G2" s="190"/>
      <c r="H2" s="190"/>
      <c r="I2" s="190"/>
    </row>
    <row r="3" spans="1:9" ht="12.75" customHeight="1" x14ac:dyDescent="0.2">
      <c r="A3" s="190" t="s">
        <v>193</v>
      </c>
      <c r="B3" s="190"/>
      <c r="C3" s="190"/>
      <c r="D3" s="190"/>
      <c r="E3" s="190"/>
      <c r="F3" s="190"/>
      <c r="G3" s="190"/>
      <c r="H3" s="190"/>
      <c r="I3" s="190"/>
    </row>
    <row r="4" spans="1:9" ht="12.75" customHeight="1" x14ac:dyDescent="0.2">
      <c r="A4" s="190" t="s">
        <v>194</v>
      </c>
      <c r="B4" s="191"/>
      <c r="C4" s="191"/>
      <c r="D4" s="191"/>
      <c r="E4" s="191"/>
      <c r="F4" s="191"/>
      <c r="G4" s="191"/>
      <c r="H4" s="191"/>
      <c r="I4" s="191"/>
    </row>
    <row r="5" spans="1:9" ht="12.75" customHeight="1" x14ac:dyDescent="0.2">
      <c r="A5" s="192"/>
      <c r="B5" s="192"/>
      <c r="C5" s="192"/>
      <c r="D5" s="192"/>
      <c r="E5" s="192"/>
      <c r="F5" s="192"/>
      <c r="G5" s="192"/>
      <c r="H5" s="192"/>
      <c r="I5" s="192"/>
    </row>
    <row r="6" spans="1:9" ht="21" customHeight="1" x14ac:dyDescent="0.2">
      <c r="A6" s="193" t="s">
        <v>0</v>
      </c>
      <c r="B6" s="194"/>
      <c r="C6" s="194"/>
      <c r="D6" s="194"/>
      <c r="E6" s="194"/>
      <c r="F6" s="194"/>
      <c r="G6" s="194"/>
      <c r="H6" s="194"/>
      <c r="I6" s="195"/>
    </row>
    <row r="7" spans="1:9" ht="12.75" customHeight="1" x14ac:dyDescent="0.2">
      <c r="A7" s="2" t="s">
        <v>1</v>
      </c>
      <c r="B7" s="176" t="s">
        <v>2</v>
      </c>
      <c r="C7" s="177"/>
      <c r="D7" s="177"/>
      <c r="E7" s="177"/>
      <c r="F7" s="177"/>
      <c r="G7" s="178"/>
      <c r="H7" s="179" t="s">
        <v>192</v>
      </c>
      <c r="I7" s="180"/>
    </row>
    <row r="8" spans="1:9" ht="12.75" customHeight="1" x14ac:dyDescent="0.2">
      <c r="A8" s="3" t="s">
        <v>3</v>
      </c>
      <c r="B8" s="181" t="s">
        <v>4</v>
      </c>
      <c r="C8" s="182"/>
      <c r="D8" s="182"/>
      <c r="E8" s="182"/>
      <c r="F8" s="182"/>
      <c r="G8" s="183"/>
      <c r="H8" s="184" t="str">
        <f>'12X36 NOTURNO'!H8:I8</f>
        <v>RIO GRANDE RS</v>
      </c>
      <c r="I8" s="185"/>
    </row>
    <row r="9" spans="1:9" ht="12.75" customHeight="1" x14ac:dyDescent="0.2">
      <c r="A9" s="3" t="s">
        <v>5</v>
      </c>
      <c r="B9" s="181" t="s">
        <v>6</v>
      </c>
      <c r="C9" s="182"/>
      <c r="D9" s="182"/>
      <c r="E9" s="182"/>
      <c r="F9" s="182"/>
      <c r="G9" s="183"/>
      <c r="H9" s="186" t="str">
        <f>'12X36 NOTURNO'!H9:I9</f>
        <v>RS000837/2025</v>
      </c>
      <c r="I9" s="187"/>
    </row>
    <row r="10" spans="1:9" ht="12.75" customHeight="1" x14ac:dyDescent="0.2">
      <c r="A10" s="3" t="s">
        <v>7</v>
      </c>
      <c r="B10" s="181" t="s">
        <v>8</v>
      </c>
      <c r="C10" s="182"/>
      <c r="D10" s="182"/>
      <c r="E10" s="182"/>
      <c r="F10" s="182"/>
      <c r="G10" s="183"/>
      <c r="H10" s="184">
        <v>12</v>
      </c>
      <c r="I10" s="185"/>
    </row>
    <row r="11" spans="1:9" ht="12.75" customHeight="1" x14ac:dyDescent="0.2">
      <c r="A11" s="181" t="s">
        <v>9</v>
      </c>
      <c r="B11" s="182"/>
      <c r="C11" s="182"/>
      <c r="D11" s="182"/>
      <c r="E11" s="182"/>
      <c r="F11" s="182"/>
      <c r="G11" s="182"/>
      <c r="H11" s="182"/>
      <c r="I11" s="183"/>
    </row>
    <row r="12" spans="1:9" ht="14.25" x14ac:dyDescent="0.2">
      <c r="A12" s="202"/>
      <c r="B12" s="203"/>
      <c r="C12" s="203"/>
      <c r="D12" s="203"/>
      <c r="E12" s="203"/>
      <c r="F12" s="203"/>
      <c r="G12" s="203"/>
      <c r="H12" s="203"/>
      <c r="I12" s="204"/>
    </row>
    <row r="13" spans="1:9" ht="21.75" customHeight="1" x14ac:dyDescent="0.2">
      <c r="A13" s="205" t="s">
        <v>90</v>
      </c>
      <c r="B13" s="206"/>
      <c r="C13" s="206"/>
      <c r="D13" s="206"/>
      <c r="E13" s="206"/>
      <c r="F13" s="206"/>
      <c r="G13" s="206"/>
      <c r="H13" s="206"/>
      <c r="I13" s="207"/>
    </row>
    <row r="14" spans="1:9" ht="12.75" customHeight="1" x14ac:dyDescent="0.2">
      <c r="A14" s="208" t="s">
        <v>10</v>
      </c>
      <c r="B14" s="209"/>
      <c r="C14" s="209"/>
      <c r="D14" s="209"/>
      <c r="E14" s="209"/>
      <c r="F14" s="209"/>
      <c r="G14" s="209"/>
      <c r="H14" s="209"/>
      <c r="I14" s="210"/>
    </row>
    <row r="15" spans="1:9" ht="27" customHeight="1" x14ac:dyDescent="0.2">
      <c r="A15" s="3">
        <v>1</v>
      </c>
      <c r="B15" s="181" t="s">
        <v>11</v>
      </c>
      <c r="C15" s="182"/>
      <c r="D15" s="182"/>
      <c r="E15" s="182"/>
      <c r="F15" s="182"/>
      <c r="G15" s="183"/>
      <c r="H15" s="196" t="s">
        <v>156</v>
      </c>
      <c r="I15" s="197"/>
    </row>
    <row r="16" spans="1:9" ht="12.75" customHeight="1" x14ac:dyDescent="0.2">
      <c r="A16" s="3">
        <v>2</v>
      </c>
      <c r="B16" s="181" t="s">
        <v>12</v>
      </c>
      <c r="C16" s="182"/>
      <c r="D16" s="182"/>
      <c r="E16" s="182"/>
      <c r="F16" s="182"/>
      <c r="G16" s="183"/>
      <c r="H16" s="198" t="s">
        <v>153</v>
      </c>
      <c r="I16" s="199"/>
    </row>
    <row r="17" spans="1:9" ht="12.75" customHeight="1" x14ac:dyDescent="0.2">
      <c r="A17" s="3">
        <v>3</v>
      </c>
      <c r="B17" s="181" t="s">
        <v>13</v>
      </c>
      <c r="C17" s="182"/>
      <c r="D17" s="182"/>
      <c r="E17" s="182"/>
      <c r="F17" s="182"/>
      <c r="G17" s="183"/>
      <c r="H17" s="200">
        <v>2774.46</v>
      </c>
      <c r="I17" s="201"/>
    </row>
    <row r="18" spans="1:9" ht="15" customHeight="1" x14ac:dyDescent="0.2">
      <c r="A18" s="3">
        <v>4</v>
      </c>
      <c r="B18" s="181" t="s">
        <v>14</v>
      </c>
      <c r="C18" s="182"/>
      <c r="D18" s="182"/>
      <c r="E18" s="182"/>
      <c r="F18" s="182"/>
      <c r="G18" s="183"/>
      <c r="H18" s="218" t="str">
        <f>'12X36 NOTURNO'!H18:I18</f>
        <v xml:space="preserve"> VIGILANTE</v>
      </c>
      <c r="I18" s="219"/>
    </row>
    <row r="19" spans="1:9" ht="12.75" customHeight="1" x14ac:dyDescent="0.25">
      <c r="A19" s="4">
        <v>5</v>
      </c>
      <c r="B19" s="181" t="s">
        <v>15</v>
      </c>
      <c r="C19" s="182"/>
      <c r="D19" s="182"/>
      <c r="E19" s="182"/>
      <c r="F19" s="182"/>
      <c r="G19" s="183"/>
      <c r="H19" s="220" t="s">
        <v>184</v>
      </c>
      <c r="I19" s="221"/>
    </row>
    <row r="20" spans="1:9" ht="15" x14ac:dyDescent="0.2">
      <c r="A20" s="222"/>
      <c r="B20" s="223"/>
      <c r="C20" s="223"/>
      <c r="D20" s="223"/>
      <c r="E20" s="223"/>
      <c r="F20" s="223"/>
      <c r="G20" s="223"/>
      <c r="H20" s="223"/>
      <c r="I20" s="224"/>
    </row>
    <row r="21" spans="1:9" ht="23.25" customHeight="1" x14ac:dyDescent="0.2">
      <c r="A21" s="205" t="s">
        <v>16</v>
      </c>
      <c r="B21" s="206"/>
      <c r="C21" s="206"/>
      <c r="D21" s="206"/>
      <c r="E21" s="206"/>
      <c r="F21" s="206"/>
      <c r="G21" s="206"/>
      <c r="H21" s="206"/>
      <c r="I21" s="207"/>
    </row>
    <row r="22" spans="1:9" ht="12.75" customHeight="1" x14ac:dyDescent="0.2">
      <c r="A22" s="86">
        <v>1</v>
      </c>
      <c r="B22" s="208" t="s">
        <v>17</v>
      </c>
      <c r="C22" s="209"/>
      <c r="D22" s="209"/>
      <c r="E22" s="209"/>
      <c r="F22" s="209"/>
      <c r="G22" s="210"/>
      <c r="H22" s="86" t="s">
        <v>18</v>
      </c>
      <c r="I22" s="87" t="s">
        <v>19</v>
      </c>
    </row>
    <row r="23" spans="1:9" ht="12.75" customHeight="1" x14ac:dyDescent="0.2">
      <c r="A23" s="3" t="s">
        <v>1</v>
      </c>
      <c r="B23" s="181" t="s">
        <v>157</v>
      </c>
      <c r="C23" s="182"/>
      <c r="D23" s="182"/>
      <c r="E23" s="182"/>
      <c r="F23" s="182"/>
      <c r="G23" s="182"/>
      <c r="H23" s="183"/>
      <c r="I23" s="31">
        <f>H17</f>
        <v>2774.46</v>
      </c>
    </row>
    <row r="24" spans="1:9" ht="12.75" customHeight="1" x14ac:dyDescent="0.2">
      <c r="A24" s="3" t="s">
        <v>3</v>
      </c>
      <c r="B24" s="211" t="s">
        <v>86</v>
      </c>
      <c r="C24" s="212"/>
      <c r="D24" s="212"/>
      <c r="E24" s="212"/>
      <c r="F24" s="212"/>
      <c r="G24" s="213"/>
      <c r="H24" s="5">
        <v>0.3</v>
      </c>
      <c r="I24" s="31">
        <f>TRUNC(I23*30%,2)</f>
        <v>832.33</v>
      </c>
    </row>
    <row r="25" spans="1:9" ht="12.75" customHeight="1" x14ac:dyDescent="0.2">
      <c r="A25" s="3" t="s">
        <v>5</v>
      </c>
      <c r="B25" s="214" t="s">
        <v>87</v>
      </c>
      <c r="C25" s="215"/>
      <c r="D25" s="215"/>
      <c r="E25" s="215"/>
      <c r="F25" s="215"/>
      <c r="G25" s="216"/>
      <c r="H25" s="117"/>
      <c r="I25" s="113"/>
    </row>
    <row r="26" spans="1:9" ht="12.75" customHeight="1" x14ac:dyDescent="0.2">
      <c r="A26" s="3" t="s">
        <v>7</v>
      </c>
      <c r="B26" s="217" t="s">
        <v>20</v>
      </c>
      <c r="C26" s="217"/>
      <c r="D26" s="217"/>
      <c r="E26" s="217"/>
      <c r="F26" s="217"/>
      <c r="G26" s="217"/>
      <c r="H26" s="3"/>
      <c r="I26" s="31"/>
    </row>
    <row r="27" spans="1:9" ht="12.75" customHeight="1" x14ac:dyDescent="0.2">
      <c r="A27" s="3" t="s">
        <v>21</v>
      </c>
      <c r="B27" s="217" t="s">
        <v>22</v>
      </c>
      <c r="C27" s="217"/>
      <c r="D27" s="217"/>
      <c r="E27" s="217"/>
      <c r="F27" s="217"/>
      <c r="G27" s="217"/>
      <c r="H27" s="6"/>
      <c r="I27" s="31"/>
    </row>
    <row r="28" spans="1:9" ht="12.75" customHeight="1" x14ac:dyDescent="0.25">
      <c r="A28" s="7" t="s">
        <v>23</v>
      </c>
      <c r="B28" s="217" t="s">
        <v>162</v>
      </c>
      <c r="C28" s="217"/>
      <c r="D28" s="217"/>
      <c r="E28" s="217"/>
      <c r="F28" s="217"/>
      <c r="G28" s="217"/>
      <c r="H28" s="6"/>
      <c r="I28" s="31"/>
    </row>
    <row r="29" spans="1:9" ht="12.75" customHeight="1" x14ac:dyDescent="0.2">
      <c r="A29" s="240" t="s">
        <v>26</v>
      </c>
      <c r="B29" s="241"/>
      <c r="C29" s="241"/>
      <c r="D29" s="241"/>
      <c r="E29" s="241"/>
      <c r="F29" s="241"/>
      <c r="G29" s="241"/>
      <c r="H29" s="242"/>
      <c r="I29" s="30">
        <f>SUM(I23:I28)</f>
        <v>3606.79</v>
      </c>
    </row>
    <row r="30" spans="1:9" ht="14.25" x14ac:dyDescent="0.2">
      <c r="A30" s="202"/>
      <c r="B30" s="203"/>
      <c r="C30" s="203"/>
      <c r="D30" s="203"/>
      <c r="E30" s="203"/>
      <c r="F30" s="203"/>
      <c r="G30" s="203"/>
      <c r="H30" s="203"/>
      <c r="I30" s="204"/>
    </row>
    <row r="31" spans="1:9" ht="23.25" customHeight="1" x14ac:dyDescent="0.2">
      <c r="A31" s="243" t="s">
        <v>27</v>
      </c>
      <c r="B31" s="244"/>
      <c r="C31" s="244"/>
      <c r="D31" s="244"/>
      <c r="E31" s="244"/>
      <c r="F31" s="244"/>
      <c r="G31" s="244"/>
      <c r="H31" s="244"/>
      <c r="I31" s="245"/>
    </row>
    <row r="32" spans="1:9" ht="18" customHeight="1" x14ac:dyDescent="0.2">
      <c r="A32" s="88" t="s">
        <v>28</v>
      </c>
      <c r="B32" s="193" t="s">
        <v>29</v>
      </c>
      <c r="C32" s="194"/>
      <c r="D32" s="194"/>
      <c r="E32" s="194"/>
      <c r="F32" s="194"/>
      <c r="G32" s="194"/>
      <c r="H32" s="89" t="s">
        <v>96</v>
      </c>
      <c r="I32" s="90" t="s">
        <v>19</v>
      </c>
    </row>
    <row r="33" spans="1:9" ht="30" customHeight="1" x14ac:dyDescent="0.2">
      <c r="A33" s="8" t="s">
        <v>1</v>
      </c>
      <c r="B33" s="181" t="s">
        <v>88</v>
      </c>
      <c r="C33" s="182"/>
      <c r="D33" s="182"/>
      <c r="E33" s="182"/>
      <c r="F33" s="182"/>
      <c r="G33" s="183"/>
      <c r="H33" s="32">
        <v>8.3333333333333329E-2</v>
      </c>
      <c r="I33" s="31">
        <f>TRUNC(I29*H33,2)</f>
        <v>300.56</v>
      </c>
    </row>
    <row r="34" spans="1:9" ht="27" customHeight="1" x14ac:dyDescent="0.2">
      <c r="A34" s="8" t="s">
        <v>3</v>
      </c>
      <c r="B34" s="181" t="s">
        <v>89</v>
      </c>
      <c r="C34" s="182"/>
      <c r="D34" s="182"/>
      <c r="E34" s="182"/>
      <c r="F34" s="182"/>
      <c r="G34" s="183"/>
      <c r="H34" s="32">
        <v>0.121</v>
      </c>
      <c r="I34" s="31">
        <f>TRUNC(I29*H34,2)</f>
        <v>436.42</v>
      </c>
    </row>
    <row r="35" spans="1:9" ht="14.25" x14ac:dyDescent="0.2">
      <c r="A35" s="225" t="s">
        <v>26</v>
      </c>
      <c r="B35" s="226"/>
      <c r="C35" s="226"/>
      <c r="D35" s="226"/>
      <c r="E35" s="226"/>
      <c r="F35" s="226"/>
      <c r="G35" s="227"/>
      <c r="H35" s="29">
        <f>SUM(H33:H34)</f>
        <v>0.20430000000000001</v>
      </c>
      <c r="I35" s="33">
        <f>SUM(I33:I34)</f>
        <v>736.98</v>
      </c>
    </row>
    <row r="36" spans="1:9" ht="14.25" x14ac:dyDescent="0.2">
      <c r="A36" s="228" t="s">
        <v>113</v>
      </c>
      <c r="B36" s="229"/>
      <c r="C36" s="229"/>
      <c r="D36" s="229"/>
      <c r="E36" s="229"/>
      <c r="F36" s="229"/>
      <c r="G36" s="230"/>
      <c r="H36" s="56" t="s">
        <v>114</v>
      </c>
      <c r="I36" s="57">
        <f>I29</f>
        <v>3606.79</v>
      </c>
    </row>
    <row r="37" spans="1:9" ht="14.25" x14ac:dyDescent="0.2">
      <c r="A37" s="231"/>
      <c r="B37" s="232"/>
      <c r="C37" s="232"/>
      <c r="D37" s="232"/>
      <c r="E37" s="232"/>
      <c r="F37" s="232"/>
      <c r="G37" s="233"/>
      <c r="H37" s="56" t="s">
        <v>115</v>
      </c>
      <c r="I37" s="57">
        <f>I35</f>
        <v>736.98</v>
      </c>
    </row>
    <row r="38" spans="1:9" ht="14.25" x14ac:dyDescent="0.2">
      <c r="A38" s="234"/>
      <c r="B38" s="235"/>
      <c r="C38" s="235"/>
      <c r="D38" s="235"/>
      <c r="E38" s="235"/>
      <c r="F38" s="235"/>
      <c r="G38" s="236"/>
      <c r="H38" s="56" t="s">
        <v>26</v>
      </c>
      <c r="I38" s="57">
        <f>SUM(I36:I37)</f>
        <v>4343.7700000000004</v>
      </c>
    </row>
    <row r="39" spans="1:9" ht="33" customHeight="1" x14ac:dyDescent="0.2">
      <c r="A39" s="237" t="s">
        <v>116</v>
      </c>
      <c r="B39" s="238"/>
      <c r="C39" s="238"/>
      <c r="D39" s="238"/>
      <c r="E39" s="238"/>
      <c r="F39" s="238"/>
      <c r="G39" s="238"/>
      <c r="H39" s="238"/>
      <c r="I39" s="239"/>
    </row>
    <row r="40" spans="1:9" ht="19.5" customHeight="1" x14ac:dyDescent="0.2">
      <c r="A40" s="91" t="s">
        <v>31</v>
      </c>
      <c r="B40" s="208" t="s">
        <v>32</v>
      </c>
      <c r="C40" s="209"/>
      <c r="D40" s="209"/>
      <c r="E40" s="209"/>
      <c r="F40" s="209"/>
      <c r="G40" s="210"/>
      <c r="H40" s="89" t="s">
        <v>96</v>
      </c>
      <c r="I40" s="92" t="s">
        <v>19</v>
      </c>
    </row>
    <row r="41" spans="1:9" ht="12.75" customHeight="1" x14ac:dyDescent="0.2">
      <c r="A41" s="9" t="s">
        <v>1</v>
      </c>
      <c r="B41" s="181" t="s">
        <v>33</v>
      </c>
      <c r="C41" s="182"/>
      <c r="D41" s="182"/>
      <c r="E41" s="182"/>
      <c r="F41" s="182"/>
      <c r="G41" s="183"/>
      <c r="H41" s="5">
        <v>0.2</v>
      </c>
      <c r="I41" s="31">
        <f>TRUNC(I38*H41,2)</f>
        <v>868.75</v>
      </c>
    </row>
    <row r="42" spans="1:9" ht="12.75" customHeight="1" x14ac:dyDescent="0.2">
      <c r="A42" s="9" t="s">
        <v>3</v>
      </c>
      <c r="B42" s="181" t="s">
        <v>34</v>
      </c>
      <c r="C42" s="182"/>
      <c r="D42" s="182"/>
      <c r="E42" s="182"/>
      <c r="F42" s="182"/>
      <c r="G42" s="183"/>
      <c r="H42" s="5">
        <v>2.5000000000000001E-2</v>
      </c>
      <c r="I42" s="31">
        <f>TRUNC(I38*H42,2)</f>
        <v>108.59</v>
      </c>
    </row>
    <row r="43" spans="1:9" ht="17.25" customHeight="1" x14ac:dyDescent="0.2">
      <c r="A43" s="9" t="s">
        <v>5</v>
      </c>
      <c r="B43" s="181" t="s">
        <v>112</v>
      </c>
      <c r="C43" s="182"/>
      <c r="D43" s="182"/>
      <c r="E43" s="182"/>
      <c r="F43" s="182"/>
      <c r="G43" s="183"/>
      <c r="H43" s="104">
        <v>0.03</v>
      </c>
      <c r="I43" s="31">
        <f>TRUNC(I38*H43,2)</f>
        <v>130.31</v>
      </c>
    </row>
    <row r="44" spans="1:9" ht="12.75" customHeight="1" x14ac:dyDescent="0.2">
      <c r="A44" s="9" t="s">
        <v>7</v>
      </c>
      <c r="B44" s="181" t="s">
        <v>35</v>
      </c>
      <c r="C44" s="182"/>
      <c r="D44" s="182"/>
      <c r="E44" s="182"/>
      <c r="F44" s="182"/>
      <c r="G44" s="183"/>
      <c r="H44" s="5">
        <v>1.4999999999999999E-2</v>
      </c>
      <c r="I44" s="31">
        <f>TRUNC(I38*H44,2)</f>
        <v>65.150000000000006</v>
      </c>
    </row>
    <row r="45" spans="1:9" ht="12.75" customHeight="1" x14ac:dyDescent="0.2">
      <c r="A45" s="9" t="s">
        <v>21</v>
      </c>
      <c r="B45" s="181" t="s">
        <v>36</v>
      </c>
      <c r="C45" s="182"/>
      <c r="D45" s="182"/>
      <c r="E45" s="182"/>
      <c r="F45" s="182"/>
      <c r="G45" s="183"/>
      <c r="H45" s="5">
        <v>0.01</v>
      </c>
      <c r="I45" s="31">
        <f>TRUNC(I38*H45,2)</f>
        <v>43.43</v>
      </c>
    </row>
    <row r="46" spans="1:9" ht="12.75" customHeight="1" x14ac:dyDescent="0.2">
      <c r="A46" s="9" t="s">
        <v>23</v>
      </c>
      <c r="B46" s="181" t="s">
        <v>37</v>
      </c>
      <c r="C46" s="182"/>
      <c r="D46" s="182"/>
      <c r="E46" s="182"/>
      <c r="F46" s="182"/>
      <c r="G46" s="183"/>
      <c r="H46" s="5">
        <v>6.0000000000000001E-3</v>
      </c>
      <c r="I46" s="31">
        <f>TRUNC(I38*H46,2)</f>
        <v>26.06</v>
      </c>
    </row>
    <row r="47" spans="1:9" ht="12.75" customHeight="1" x14ac:dyDescent="0.2">
      <c r="A47" s="9" t="s">
        <v>24</v>
      </c>
      <c r="B47" s="181" t="s">
        <v>38</v>
      </c>
      <c r="C47" s="182"/>
      <c r="D47" s="182"/>
      <c r="E47" s="182"/>
      <c r="F47" s="182"/>
      <c r="G47" s="183"/>
      <c r="H47" s="5">
        <v>2E-3</v>
      </c>
      <c r="I47" s="31">
        <f>TRUNC(I38*H47,2)</f>
        <v>8.68</v>
      </c>
    </row>
    <row r="48" spans="1:9" ht="12.75" customHeight="1" x14ac:dyDescent="0.2">
      <c r="A48" s="10" t="s">
        <v>39</v>
      </c>
      <c r="B48" s="181" t="s">
        <v>40</v>
      </c>
      <c r="C48" s="182"/>
      <c r="D48" s="182"/>
      <c r="E48" s="182"/>
      <c r="F48" s="182"/>
      <c r="G48" s="183"/>
      <c r="H48" s="103">
        <v>0.08</v>
      </c>
      <c r="I48" s="31">
        <f>SUM(I38*H48)</f>
        <v>347.5</v>
      </c>
    </row>
    <row r="49" spans="1:12" ht="18.75" customHeight="1" x14ac:dyDescent="0.2">
      <c r="A49" s="246" t="s">
        <v>30</v>
      </c>
      <c r="B49" s="247"/>
      <c r="C49" s="247"/>
      <c r="D49" s="247"/>
      <c r="E49" s="247"/>
      <c r="F49" s="247"/>
      <c r="G49" s="248"/>
      <c r="H49" s="34">
        <f>SUM(H41:H48)</f>
        <v>0.36799999999999999</v>
      </c>
      <c r="I49" s="33">
        <f>SUM(I41:I48)</f>
        <v>1598.47</v>
      </c>
    </row>
    <row r="50" spans="1:12" ht="33" customHeight="1" x14ac:dyDescent="0.2">
      <c r="A50" s="249" t="s">
        <v>117</v>
      </c>
      <c r="B50" s="250"/>
      <c r="C50" s="250"/>
      <c r="D50" s="250"/>
      <c r="E50" s="250"/>
      <c r="F50" s="250"/>
      <c r="G50" s="250"/>
      <c r="H50" s="250"/>
      <c r="I50" s="250"/>
    </row>
    <row r="51" spans="1:12" ht="17.25" customHeight="1" x14ac:dyDescent="0.2">
      <c r="A51" s="93" t="s">
        <v>41</v>
      </c>
      <c r="B51" s="251" t="s">
        <v>42</v>
      </c>
      <c r="C51" s="252"/>
      <c r="D51" s="252"/>
      <c r="E51" s="252"/>
      <c r="F51" s="252"/>
      <c r="G51" s="252"/>
      <c r="H51" s="253"/>
      <c r="I51" s="94" t="s">
        <v>19</v>
      </c>
    </row>
    <row r="52" spans="1:12" ht="15" x14ac:dyDescent="0.2">
      <c r="A52" s="8" t="s">
        <v>1</v>
      </c>
      <c r="B52" s="254" t="s">
        <v>161</v>
      </c>
      <c r="C52" s="255"/>
      <c r="D52" s="255"/>
      <c r="E52" s="255"/>
      <c r="F52" s="255"/>
      <c r="G52" s="255"/>
      <c r="H52" s="256"/>
      <c r="I52" s="35">
        <f>K52-L52</f>
        <v>7.53</v>
      </c>
      <c r="K52">
        <f>H53*H54*15</f>
        <v>174</v>
      </c>
      <c r="L52" s="122">
        <f>I23*H55</f>
        <v>166.47</v>
      </c>
    </row>
    <row r="53" spans="1:12" ht="24.75" customHeight="1" x14ac:dyDescent="0.2">
      <c r="A53" s="8"/>
      <c r="B53" s="263" t="s">
        <v>44</v>
      </c>
      <c r="C53" s="264"/>
      <c r="D53" s="264"/>
      <c r="E53" s="264"/>
      <c r="F53" s="264"/>
      <c r="G53" s="265"/>
      <c r="H53" s="100">
        <v>5.8</v>
      </c>
      <c r="I53" s="31"/>
    </row>
    <row r="54" spans="1:12" ht="12.75" customHeight="1" x14ac:dyDescent="0.2">
      <c r="A54" s="11"/>
      <c r="B54" s="263" t="s">
        <v>110</v>
      </c>
      <c r="C54" s="264"/>
      <c r="D54" s="264"/>
      <c r="E54" s="264"/>
      <c r="F54" s="264"/>
      <c r="G54" s="265"/>
      <c r="H54" s="101">
        <v>2</v>
      </c>
      <c r="I54" s="36" t="s">
        <v>45</v>
      </c>
    </row>
    <row r="55" spans="1:12" ht="12.75" customHeight="1" x14ac:dyDescent="0.2">
      <c r="A55" s="8"/>
      <c r="B55" s="263" t="s">
        <v>46</v>
      </c>
      <c r="C55" s="264"/>
      <c r="D55" s="264"/>
      <c r="E55" s="264"/>
      <c r="F55" s="264"/>
      <c r="G55" s="265"/>
      <c r="H55" s="102">
        <v>0.06</v>
      </c>
      <c r="I55" s="31"/>
    </row>
    <row r="56" spans="1:12" ht="15" customHeight="1" x14ac:dyDescent="0.2">
      <c r="A56" s="8" t="s">
        <v>3</v>
      </c>
      <c r="B56" s="190" t="s">
        <v>47</v>
      </c>
      <c r="C56" s="190"/>
      <c r="D56" s="190"/>
      <c r="E56" s="190"/>
      <c r="F56" s="190"/>
      <c r="G56" s="190"/>
      <c r="H56" s="121">
        <v>30</v>
      </c>
      <c r="I56" s="105">
        <f>ROUND((H56*15)*0.8,2)</f>
        <v>360</v>
      </c>
    </row>
    <row r="57" spans="1:12" ht="17.25" customHeight="1" x14ac:dyDescent="0.2">
      <c r="A57" s="8" t="s">
        <v>5</v>
      </c>
      <c r="B57" s="190" t="s">
        <v>48</v>
      </c>
      <c r="C57" s="190"/>
      <c r="D57" s="190"/>
      <c r="E57" s="190"/>
      <c r="F57" s="190"/>
      <c r="G57" s="190"/>
      <c r="H57" s="12"/>
      <c r="I57" s="105">
        <v>0</v>
      </c>
    </row>
    <row r="58" spans="1:12" ht="28.5" customHeight="1" x14ac:dyDescent="0.2">
      <c r="A58" s="8" t="s">
        <v>7</v>
      </c>
      <c r="B58" s="190" t="s">
        <v>83</v>
      </c>
      <c r="C58" s="190"/>
      <c r="D58" s="190"/>
      <c r="E58" s="190"/>
      <c r="F58" s="190"/>
      <c r="G58" s="190"/>
      <c r="H58" s="12"/>
      <c r="I58" s="106">
        <v>18</v>
      </c>
    </row>
    <row r="59" spans="1:12" ht="22.5" customHeight="1" x14ac:dyDescent="0.2">
      <c r="A59" s="8" t="s">
        <v>21</v>
      </c>
      <c r="B59" s="190" t="s">
        <v>155</v>
      </c>
      <c r="C59" s="190"/>
      <c r="D59" s="190"/>
      <c r="E59" s="190"/>
      <c r="F59" s="190"/>
      <c r="G59" s="190"/>
      <c r="H59" s="12"/>
      <c r="I59" s="106">
        <v>15.62</v>
      </c>
    </row>
    <row r="60" spans="1:12" ht="22.5" customHeight="1" x14ac:dyDescent="0.2">
      <c r="A60" s="8" t="s">
        <v>23</v>
      </c>
      <c r="B60" s="190" t="s">
        <v>84</v>
      </c>
      <c r="C60" s="190"/>
      <c r="D60" s="190"/>
      <c r="E60" s="190"/>
      <c r="F60" s="190"/>
      <c r="G60" s="190"/>
      <c r="H60" s="12"/>
      <c r="I60" s="106">
        <v>0</v>
      </c>
    </row>
    <row r="61" spans="1:12" ht="19.5" customHeight="1" x14ac:dyDescent="0.2">
      <c r="A61" s="13"/>
      <c r="B61" s="257" t="s">
        <v>30</v>
      </c>
      <c r="C61" s="258"/>
      <c r="D61" s="258"/>
      <c r="E61" s="258"/>
      <c r="F61" s="258"/>
      <c r="G61" s="258"/>
      <c r="H61" s="259"/>
      <c r="I61" s="33">
        <f>SUM(I52:I60)</f>
        <v>401.15</v>
      </c>
    </row>
    <row r="62" spans="1:12" ht="30.75" customHeight="1" x14ac:dyDescent="0.2">
      <c r="A62" s="243" t="s">
        <v>49</v>
      </c>
      <c r="B62" s="244"/>
      <c r="C62" s="244"/>
      <c r="D62" s="244"/>
      <c r="E62" s="244"/>
      <c r="F62" s="244"/>
      <c r="G62" s="244"/>
      <c r="H62" s="244"/>
      <c r="I62" s="245"/>
    </row>
    <row r="63" spans="1:12" ht="20.25" customHeight="1" x14ac:dyDescent="0.2">
      <c r="A63" s="95">
        <v>2</v>
      </c>
      <c r="B63" s="260" t="s">
        <v>50</v>
      </c>
      <c r="C63" s="261"/>
      <c r="D63" s="261"/>
      <c r="E63" s="261"/>
      <c r="F63" s="261"/>
      <c r="G63" s="261"/>
      <c r="H63" s="262"/>
      <c r="I63" s="96" t="s">
        <v>19</v>
      </c>
    </row>
    <row r="64" spans="1:12" ht="12.75" customHeight="1" x14ac:dyDescent="0.2">
      <c r="A64" s="8" t="s">
        <v>28</v>
      </c>
      <c r="B64" s="181" t="s">
        <v>29</v>
      </c>
      <c r="C64" s="182"/>
      <c r="D64" s="182"/>
      <c r="E64" s="182"/>
      <c r="F64" s="182"/>
      <c r="G64" s="182"/>
      <c r="H64" s="183"/>
      <c r="I64" s="31">
        <f>I35</f>
        <v>736.98</v>
      </c>
    </row>
    <row r="65" spans="1:9" ht="12.75" customHeight="1" x14ac:dyDescent="0.2">
      <c r="A65" s="8" t="s">
        <v>31</v>
      </c>
      <c r="B65" s="181" t="s">
        <v>32</v>
      </c>
      <c r="C65" s="182"/>
      <c r="D65" s="182"/>
      <c r="E65" s="182"/>
      <c r="F65" s="182"/>
      <c r="G65" s="182"/>
      <c r="H65" s="183"/>
      <c r="I65" s="31">
        <f>I49</f>
        <v>1598.47</v>
      </c>
    </row>
    <row r="66" spans="1:9" ht="12.75" customHeight="1" x14ac:dyDescent="0.2">
      <c r="A66" s="8" t="s">
        <v>41</v>
      </c>
      <c r="B66" s="181" t="s">
        <v>42</v>
      </c>
      <c r="C66" s="182"/>
      <c r="D66" s="182"/>
      <c r="E66" s="182"/>
      <c r="F66" s="182"/>
      <c r="G66" s="182"/>
      <c r="H66" s="183"/>
      <c r="I66" s="31">
        <f>I61</f>
        <v>401.15</v>
      </c>
    </row>
    <row r="67" spans="1:9" ht="14.25" x14ac:dyDescent="0.2">
      <c r="A67" s="257" t="s">
        <v>26</v>
      </c>
      <c r="B67" s="258"/>
      <c r="C67" s="258"/>
      <c r="D67" s="258"/>
      <c r="E67" s="258"/>
      <c r="F67" s="258"/>
      <c r="G67" s="258"/>
      <c r="H67" s="259"/>
      <c r="I67" s="33">
        <f>SUM(I64:I66)</f>
        <v>2736.6</v>
      </c>
    </row>
    <row r="68" spans="1:9" ht="14.25" x14ac:dyDescent="0.2">
      <c r="A68" s="202"/>
      <c r="B68" s="203"/>
      <c r="C68" s="203"/>
      <c r="D68" s="203"/>
      <c r="E68" s="203"/>
      <c r="F68" s="203"/>
      <c r="G68" s="203"/>
      <c r="H68" s="203"/>
      <c r="I68" s="204"/>
    </row>
    <row r="69" spans="1:9" ht="26.25" customHeight="1" x14ac:dyDescent="0.2">
      <c r="A69" s="243" t="s">
        <v>51</v>
      </c>
      <c r="B69" s="244"/>
      <c r="C69" s="244"/>
      <c r="D69" s="244"/>
      <c r="E69" s="244"/>
      <c r="F69" s="244"/>
      <c r="G69" s="244"/>
      <c r="H69" s="244"/>
      <c r="I69" s="245"/>
    </row>
    <row r="70" spans="1:9" ht="26.25" customHeight="1" x14ac:dyDescent="0.2">
      <c r="A70" s="86">
        <v>3</v>
      </c>
      <c r="B70" s="208" t="s">
        <v>97</v>
      </c>
      <c r="C70" s="209"/>
      <c r="D70" s="209"/>
      <c r="E70" s="209"/>
      <c r="F70" s="209"/>
      <c r="G70" s="210"/>
      <c r="H70" s="86" t="s">
        <v>96</v>
      </c>
      <c r="I70" s="87" t="s">
        <v>19</v>
      </c>
    </row>
    <row r="71" spans="1:9" ht="39" customHeight="1" x14ac:dyDescent="0.2">
      <c r="A71" s="8" t="s">
        <v>1</v>
      </c>
      <c r="B71" s="217" t="s">
        <v>91</v>
      </c>
      <c r="C71" s="217"/>
      <c r="D71" s="217"/>
      <c r="E71" s="217"/>
      <c r="F71" s="217"/>
      <c r="G71" s="217"/>
      <c r="H71" s="27">
        <f>((1/12)*0.7242)</f>
        <v>6.0400000000000002E-2</v>
      </c>
      <c r="I71" s="118">
        <f>H71*I38</f>
        <v>262.36</v>
      </c>
    </row>
    <row r="72" spans="1:9" ht="15" x14ac:dyDescent="0.2">
      <c r="A72" s="8" t="s">
        <v>3</v>
      </c>
      <c r="B72" s="266" t="s">
        <v>52</v>
      </c>
      <c r="C72" s="266"/>
      <c r="D72" s="266"/>
      <c r="E72" s="266"/>
      <c r="F72" s="266"/>
      <c r="G72" s="266"/>
      <c r="H72" s="5">
        <v>0.08</v>
      </c>
      <c r="I72" s="31">
        <f>I71*H72</f>
        <v>20.99</v>
      </c>
    </row>
    <row r="73" spans="1:9" ht="12.75" customHeight="1" x14ac:dyDescent="0.2">
      <c r="A73" s="14" t="s">
        <v>5</v>
      </c>
      <c r="B73" s="217" t="s">
        <v>168</v>
      </c>
      <c r="C73" s="217"/>
      <c r="D73" s="217"/>
      <c r="E73" s="217"/>
      <c r="F73" s="217"/>
      <c r="G73" s="217"/>
      <c r="H73" s="27">
        <v>0.04</v>
      </c>
      <c r="I73" s="38">
        <f>H73*I38</f>
        <v>173.75</v>
      </c>
    </row>
    <row r="74" spans="1:9" ht="17.25" customHeight="1" x14ac:dyDescent="0.2">
      <c r="A74" s="14" t="s">
        <v>7</v>
      </c>
      <c r="B74" s="217" t="s">
        <v>92</v>
      </c>
      <c r="C74" s="217"/>
      <c r="D74" s="217"/>
      <c r="E74" s="217"/>
      <c r="F74" s="217"/>
      <c r="G74" s="217"/>
      <c r="H74" s="27">
        <f>(((7/30)/12)*1)</f>
        <v>1.9400000000000001E-2</v>
      </c>
      <c r="I74" s="38">
        <f>H74*I38</f>
        <v>84.27</v>
      </c>
    </row>
    <row r="75" spans="1:9" ht="15" x14ac:dyDescent="0.2">
      <c r="A75" s="8" t="s">
        <v>21</v>
      </c>
      <c r="B75" s="266" t="s">
        <v>165</v>
      </c>
      <c r="C75" s="266"/>
      <c r="D75" s="266"/>
      <c r="E75" s="266"/>
      <c r="F75" s="266"/>
      <c r="G75" s="266"/>
      <c r="H75" s="5">
        <f>H49</f>
        <v>0.36799999999999999</v>
      </c>
      <c r="I75" s="31">
        <f>H75*I74</f>
        <v>31.01</v>
      </c>
    </row>
    <row r="76" spans="1:9" ht="12.75" customHeight="1" x14ac:dyDescent="0.2">
      <c r="A76" s="14" t="s">
        <v>23</v>
      </c>
      <c r="B76" s="217" t="s">
        <v>55</v>
      </c>
      <c r="C76" s="217"/>
      <c r="D76" s="217"/>
      <c r="E76" s="217"/>
      <c r="F76" s="217"/>
      <c r="G76" s="217"/>
      <c r="H76" s="27">
        <v>0.04</v>
      </c>
      <c r="I76" s="38">
        <f>H76*I38</f>
        <v>173.75</v>
      </c>
    </row>
    <row r="77" spans="1:9" ht="14.25" x14ac:dyDescent="0.2">
      <c r="A77" s="257" t="s">
        <v>26</v>
      </c>
      <c r="B77" s="258"/>
      <c r="C77" s="258"/>
      <c r="D77" s="258"/>
      <c r="E77" s="258"/>
      <c r="F77" s="258"/>
      <c r="G77" s="258"/>
      <c r="H77" s="259"/>
      <c r="I77" s="33">
        <f>SUM(I71:I76)</f>
        <v>746.13</v>
      </c>
    </row>
    <row r="78" spans="1:9" ht="14.25" x14ac:dyDescent="0.2">
      <c r="A78" s="270" t="s">
        <v>118</v>
      </c>
      <c r="B78" s="270"/>
      <c r="C78" s="270"/>
      <c r="D78" s="270"/>
      <c r="E78" s="270"/>
      <c r="F78" s="270"/>
      <c r="G78" s="270"/>
      <c r="H78" s="64" t="s">
        <v>114</v>
      </c>
      <c r="I78" s="58">
        <f>I29</f>
        <v>3606.79</v>
      </c>
    </row>
    <row r="79" spans="1:9" ht="14.25" x14ac:dyDescent="0.2">
      <c r="A79" s="270"/>
      <c r="B79" s="270"/>
      <c r="C79" s="270"/>
      <c r="D79" s="270"/>
      <c r="E79" s="270"/>
      <c r="F79" s="270"/>
      <c r="G79" s="270"/>
      <c r="H79" s="64" t="s">
        <v>119</v>
      </c>
      <c r="I79" s="58">
        <f>I67</f>
        <v>2736.6</v>
      </c>
    </row>
    <row r="80" spans="1:9" ht="14.25" x14ac:dyDescent="0.2">
      <c r="A80" s="270"/>
      <c r="B80" s="270"/>
      <c r="C80" s="270"/>
      <c r="D80" s="270"/>
      <c r="E80" s="270"/>
      <c r="F80" s="270"/>
      <c r="G80" s="270"/>
      <c r="H80" s="64" t="s">
        <v>120</v>
      </c>
      <c r="I80" s="58">
        <f>I77</f>
        <v>746.13</v>
      </c>
    </row>
    <row r="81" spans="1:9" ht="14.25" x14ac:dyDescent="0.2">
      <c r="A81" s="270"/>
      <c r="B81" s="270"/>
      <c r="C81" s="270"/>
      <c r="D81" s="270"/>
      <c r="E81" s="270"/>
      <c r="F81" s="270"/>
      <c r="G81" s="270"/>
      <c r="H81" s="59" t="s">
        <v>26</v>
      </c>
      <c r="I81" s="60">
        <f>SUM(I78:I80)</f>
        <v>7089.52</v>
      </c>
    </row>
    <row r="82" spans="1:9" ht="26.25" customHeight="1" x14ac:dyDescent="0.2">
      <c r="A82" s="205" t="s">
        <v>56</v>
      </c>
      <c r="B82" s="206"/>
      <c r="C82" s="206"/>
      <c r="D82" s="206"/>
      <c r="E82" s="206"/>
      <c r="F82" s="206"/>
      <c r="G82" s="206"/>
      <c r="H82" s="206"/>
      <c r="I82" s="207"/>
    </row>
    <row r="83" spans="1:9" ht="14.25" x14ac:dyDescent="0.2">
      <c r="A83" s="97" t="s">
        <v>57</v>
      </c>
      <c r="B83" s="271" t="s">
        <v>58</v>
      </c>
      <c r="C83" s="271"/>
      <c r="D83" s="271"/>
      <c r="E83" s="271"/>
      <c r="F83" s="271"/>
      <c r="G83" s="271"/>
      <c r="H83" s="86" t="s">
        <v>96</v>
      </c>
      <c r="I83" s="98" t="s">
        <v>19</v>
      </c>
    </row>
    <row r="84" spans="1:9" ht="24.75" customHeight="1" x14ac:dyDescent="0.2">
      <c r="A84" s="8" t="s">
        <v>1</v>
      </c>
      <c r="B84" s="217" t="s">
        <v>172</v>
      </c>
      <c r="C84" s="217"/>
      <c r="D84" s="217"/>
      <c r="E84" s="217"/>
      <c r="F84" s="217"/>
      <c r="G84" s="217"/>
      <c r="H84" s="27">
        <f>H35/12</f>
        <v>1.7000000000000001E-2</v>
      </c>
      <c r="I84" s="31">
        <f>H84*I81</f>
        <v>120.52</v>
      </c>
    </row>
    <row r="85" spans="1:9" ht="15" x14ac:dyDescent="0.2">
      <c r="A85" s="8" t="s">
        <v>3</v>
      </c>
      <c r="B85" s="266" t="s">
        <v>177</v>
      </c>
      <c r="C85" s="266"/>
      <c r="D85" s="266"/>
      <c r="E85" s="266"/>
      <c r="F85" s="266"/>
      <c r="G85" s="266"/>
      <c r="H85" s="5">
        <v>5.5999999999999999E-3</v>
      </c>
      <c r="I85" s="38">
        <f>H85*I81</f>
        <v>39.700000000000003</v>
      </c>
    </row>
    <row r="86" spans="1:9" ht="15" x14ac:dyDescent="0.2">
      <c r="A86" s="8" t="s">
        <v>5</v>
      </c>
      <c r="B86" s="266" t="s">
        <v>173</v>
      </c>
      <c r="C86" s="266"/>
      <c r="D86" s="266"/>
      <c r="E86" s="266"/>
      <c r="F86" s="266"/>
      <c r="G86" s="266"/>
      <c r="H86" s="61">
        <f>((5/30/12)*0.02)</f>
        <v>2.7999999999999998E-4</v>
      </c>
      <c r="I86" s="38">
        <f>TRUNC(H86*I81,2)</f>
        <v>1.98</v>
      </c>
    </row>
    <row r="87" spans="1:9" ht="15" x14ac:dyDescent="0.2">
      <c r="A87" s="8" t="s">
        <v>7</v>
      </c>
      <c r="B87" s="266" t="s">
        <v>174</v>
      </c>
      <c r="C87" s="266"/>
      <c r="D87" s="266"/>
      <c r="E87" s="266"/>
      <c r="F87" s="266"/>
      <c r="G87" s="266"/>
      <c r="H87" s="5">
        <f>((15/30)/12)*0.08</f>
        <v>3.3E-3</v>
      </c>
      <c r="I87" s="38">
        <f>TRUNC(H87*I81,2)</f>
        <v>23.39</v>
      </c>
    </row>
    <row r="88" spans="1:9" ht="15" x14ac:dyDescent="0.2">
      <c r="A88" s="8" t="s">
        <v>21</v>
      </c>
      <c r="B88" s="266" t="s">
        <v>175</v>
      </c>
      <c r="C88" s="266"/>
      <c r="D88" s="266"/>
      <c r="E88" s="266"/>
      <c r="F88" s="266"/>
      <c r="G88" s="266"/>
      <c r="H88" s="5">
        <f>0.121*0.03*((4/12))</f>
        <v>1.1999999999999999E-3</v>
      </c>
      <c r="I88" s="31">
        <f>TRUNC(H88*I81,2)</f>
        <v>8.5</v>
      </c>
    </row>
    <row r="89" spans="1:9" ht="15" x14ac:dyDescent="0.25">
      <c r="A89" s="4" t="s">
        <v>23</v>
      </c>
      <c r="B89" s="266" t="s">
        <v>25</v>
      </c>
      <c r="C89" s="266"/>
      <c r="D89" s="266"/>
      <c r="E89" s="266"/>
      <c r="F89" s="266"/>
      <c r="G89" s="266"/>
      <c r="H89" s="5"/>
      <c r="I89" s="31"/>
    </row>
    <row r="90" spans="1:9" ht="14.25" x14ac:dyDescent="0.2">
      <c r="A90" s="257" t="s">
        <v>30</v>
      </c>
      <c r="B90" s="258"/>
      <c r="C90" s="258"/>
      <c r="D90" s="258"/>
      <c r="E90" s="258"/>
      <c r="F90" s="258"/>
      <c r="G90" s="258"/>
      <c r="H90" s="259"/>
      <c r="I90" s="33">
        <f>SUM(I84:I88)</f>
        <v>194.09</v>
      </c>
    </row>
    <row r="91" spans="1:9" ht="14.25" x14ac:dyDescent="0.2">
      <c r="A91" s="97" t="s">
        <v>59</v>
      </c>
      <c r="B91" s="267" t="s">
        <v>60</v>
      </c>
      <c r="C91" s="268"/>
      <c r="D91" s="268"/>
      <c r="E91" s="268"/>
      <c r="F91" s="268"/>
      <c r="G91" s="268"/>
      <c r="H91" s="269"/>
      <c r="I91" s="98" t="s">
        <v>19</v>
      </c>
    </row>
    <row r="92" spans="1:9" ht="12.75" customHeight="1" x14ac:dyDescent="0.2">
      <c r="A92" s="8" t="s">
        <v>1</v>
      </c>
      <c r="B92" s="190" t="s">
        <v>61</v>
      </c>
      <c r="C92" s="190"/>
      <c r="D92" s="190"/>
      <c r="E92" s="190"/>
      <c r="F92" s="190"/>
      <c r="G92" s="190"/>
      <c r="H92" s="39"/>
      <c r="I92" s="40">
        <f>(I81/220*15)</f>
        <v>483.38</v>
      </c>
    </row>
    <row r="93" spans="1:9" ht="14.25" x14ac:dyDescent="0.2">
      <c r="A93" s="257" t="s">
        <v>30</v>
      </c>
      <c r="B93" s="258"/>
      <c r="C93" s="258"/>
      <c r="D93" s="258"/>
      <c r="E93" s="258"/>
      <c r="F93" s="258"/>
      <c r="G93" s="258"/>
      <c r="H93" s="259"/>
      <c r="I93" s="28">
        <f>SUM(I92:I92)</f>
        <v>483.38</v>
      </c>
    </row>
    <row r="94" spans="1:9" ht="21.75" customHeight="1" x14ac:dyDescent="0.2">
      <c r="A94" s="243" t="s">
        <v>62</v>
      </c>
      <c r="B94" s="244"/>
      <c r="C94" s="244"/>
      <c r="D94" s="244"/>
      <c r="E94" s="244"/>
      <c r="F94" s="244"/>
      <c r="G94" s="244"/>
      <c r="H94" s="244"/>
      <c r="I94" s="245"/>
    </row>
    <row r="95" spans="1:9" ht="12.75" customHeight="1" x14ac:dyDescent="0.2">
      <c r="A95" s="88">
        <v>4</v>
      </c>
      <c r="B95" s="208" t="s">
        <v>63</v>
      </c>
      <c r="C95" s="209"/>
      <c r="D95" s="209"/>
      <c r="E95" s="209"/>
      <c r="F95" s="209"/>
      <c r="G95" s="209"/>
      <c r="H95" s="210"/>
      <c r="I95" s="90" t="s">
        <v>19</v>
      </c>
    </row>
    <row r="96" spans="1:9" ht="12.75" customHeight="1" x14ac:dyDescent="0.2">
      <c r="A96" s="8" t="s">
        <v>57</v>
      </c>
      <c r="B96" s="190" t="s">
        <v>58</v>
      </c>
      <c r="C96" s="190"/>
      <c r="D96" s="190"/>
      <c r="E96" s="190"/>
      <c r="F96" s="190"/>
      <c r="G96" s="190"/>
      <c r="H96" s="15"/>
      <c r="I96" s="31">
        <f>I90</f>
        <v>194.09</v>
      </c>
    </row>
    <row r="97" spans="1:9" ht="12.75" customHeight="1" x14ac:dyDescent="0.2">
      <c r="A97" s="8" t="s">
        <v>59</v>
      </c>
      <c r="B97" s="190" t="s">
        <v>60</v>
      </c>
      <c r="C97" s="190"/>
      <c r="D97" s="190"/>
      <c r="E97" s="190"/>
      <c r="F97" s="190"/>
      <c r="G97" s="190"/>
      <c r="H97" s="15"/>
      <c r="I97" s="31">
        <f>I93</f>
        <v>483.38</v>
      </c>
    </row>
    <row r="98" spans="1:9" ht="14.25" x14ac:dyDescent="0.2">
      <c r="A98" s="257" t="s">
        <v>26</v>
      </c>
      <c r="B98" s="258"/>
      <c r="C98" s="258"/>
      <c r="D98" s="258"/>
      <c r="E98" s="258"/>
      <c r="F98" s="258"/>
      <c r="G98" s="258"/>
      <c r="H98" s="259"/>
      <c r="I98" s="33">
        <f>SUM(I96:I97)</f>
        <v>677.47</v>
      </c>
    </row>
    <row r="99" spans="1:9" ht="14.25" x14ac:dyDescent="0.2">
      <c r="A99" s="202"/>
      <c r="B99" s="203"/>
      <c r="C99" s="203"/>
      <c r="D99" s="203"/>
      <c r="E99" s="203"/>
      <c r="F99" s="203"/>
      <c r="G99" s="203"/>
      <c r="H99" s="203"/>
      <c r="I99" s="204"/>
    </row>
    <row r="100" spans="1:9" ht="18.75" customHeight="1" x14ac:dyDescent="0.2">
      <c r="A100" s="205" t="s">
        <v>64</v>
      </c>
      <c r="B100" s="206"/>
      <c r="C100" s="206"/>
      <c r="D100" s="206"/>
      <c r="E100" s="206"/>
      <c r="F100" s="206"/>
      <c r="G100" s="206"/>
      <c r="H100" s="206"/>
      <c r="I100" s="207"/>
    </row>
    <row r="101" spans="1:9" ht="12.75" customHeight="1" x14ac:dyDescent="0.2">
      <c r="A101" s="88">
        <v>5</v>
      </c>
      <c r="B101" s="208" t="s">
        <v>65</v>
      </c>
      <c r="C101" s="209"/>
      <c r="D101" s="209"/>
      <c r="E101" s="209"/>
      <c r="F101" s="209"/>
      <c r="G101" s="209"/>
      <c r="H101" s="210"/>
      <c r="I101" s="90" t="s">
        <v>19</v>
      </c>
    </row>
    <row r="102" spans="1:9" ht="15" customHeight="1" x14ac:dyDescent="0.2">
      <c r="A102" s="8" t="s">
        <v>1</v>
      </c>
      <c r="B102" s="181" t="s">
        <v>66</v>
      </c>
      <c r="C102" s="182"/>
      <c r="D102" s="182"/>
      <c r="E102" s="182"/>
      <c r="F102" s="182"/>
      <c r="G102" s="182"/>
      <c r="H102" s="183"/>
      <c r="I102" s="31">
        <v>86.76</v>
      </c>
    </row>
    <row r="103" spans="1:9" ht="15" x14ac:dyDescent="0.2">
      <c r="A103" s="8" t="s">
        <v>3</v>
      </c>
      <c r="B103" s="254" t="s">
        <v>67</v>
      </c>
      <c r="C103" s="255"/>
      <c r="D103" s="255"/>
      <c r="E103" s="255"/>
      <c r="F103" s="255"/>
      <c r="G103" s="255"/>
      <c r="H103" s="256"/>
      <c r="I103" s="112">
        <v>55.63</v>
      </c>
    </row>
    <row r="104" spans="1:9" ht="14.25" x14ac:dyDescent="0.2">
      <c r="A104" s="257" t="s">
        <v>26</v>
      </c>
      <c r="B104" s="258"/>
      <c r="C104" s="258"/>
      <c r="D104" s="258"/>
      <c r="E104" s="258"/>
      <c r="F104" s="258"/>
      <c r="G104" s="258"/>
      <c r="H104" s="259"/>
      <c r="I104" s="41">
        <f>ROUND(SUM(I102:I103),2)</f>
        <v>142.38999999999999</v>
      </c>
    </row>
    <row r="105" spans="1:9" ht="14.25" customHeight="1" x14ac:dyDescent="0.2">
      <c r="A105" s="272" t="s">
        <v>121</v>
      </c>
      <c r="B105" s="273"/>
      <c r="C105" s="273"/>
      <c r="D105" s="273"/>
      <c r="E105" s="273"/>
      <c r="F105" s="273"/>
      <c r="G105" s="274"/>
      <c r="H105" s="64" t="s">
        <v>114</v>
      </c>
      <c r="I105" s="62">
        <f>I29</f>
        <v>3606.79</v>
      </c>
    </row>
    <row r="106" spans="1:9" ht="14.25" x14ac:dyDescent="0.2">
      <c r="A106" s="275"/>
      <c r="B106" s="276"/>
      <c r="C106" s="276"/>
      <c r="D106" s="276"/>
      <c r="E106" s="276"/>
      <c r="F106" s="276"/>
      <c r="G106" s="277"/>
      <c r="H106" s="64" t="s">
        <v>119</v>
      </c>
      <c r="I106" s="62">
        <f>I67</f>
        <v>2736.6</v>
      </c>
    </row>
    <row r="107" spans="1:9" ht="14.25" x14ac:dyDescent="0.2">
      <c r="A107" s="275"/>
      <c r="B107" s="276"/>
      <c r="C107" s="276"/>
      <c r="D107" s="276"/>
      <c r="E107" s="276"/>
      <c r="F107" s="276"/>
      <c r="G107" s="277"/>
      <c r="H107" s="64" t="s">
        <v>120</v>
      </c>
      <c r="I107" s="62">
        <f>I77</f>
        <v>746.13</v>
      </c>
    </row>
    <row r="108" spans="1:9" ht="14.25" x14ac:dyDescent="0.2">
      <c r="A108" s="275"/>
      <c r="B108" s="276"/>
      <c r="C108" s="276"/>
      <c r="D108" s="276"/>
      <c r="E108" s="276"/>
      <c r="F108" s="276"/>
      <c r="G108" s="277"/>
      <c r="H108" s="64" t="s">
        <v>122</v>
      </c>
      <c r="I108" s="62">
        <f>I98</f>
        <v>677.47</v>
      </c>
    </row>
    <row r="109" spans="1:9" ht="14.25" x14ac:dyDescent="0.2">
      <c r="A109" s="275"/>
      <c r="B109" s="276"/>
      <c r="C109" s="276"/>
      <c r="D109" s="276"/>
      <c r="E109" s="276"/>
      <c r="F109" s="276"/>
      <c r="G109" s="277"/>
      <c r="H109" s="64" t="s">
        <v>123</v>
      </c>
      <c r="I109" s="60">
        <f>I104</f>
        <v>142.38999999999999</v>
      </c>
    </row>
    <row r="110" spans="1:9" ht="14.25" x14ac:dyDescent="0.2">
      <c r="A110" s="278"/>
      <c r="B110" s="279"/>
      <c r="C110" s="279"/>
      <c r="D110" s="279"/>
      <c r="E110" s="279"/>
      <c r="F110" s="279"/>
      <c r="G110" s="280"/>
      <c r="H110" s="64" t="s">
        <v>26</v>
      </c>
      <c r="I110" s="63">
        <f>SUM(I105:I109)</f>
        <v>7909.38</v>
      </c>
    </row>
    <row r="111" spans="1:9" ht="24" customHeight="1" x14ac:dyDescent="0.2">
      <c r="A111" s="281" t="s">
        <v>68</v>
      </c>
      <c r="B111" s="281"/>
      <c r="C111" s="281"/>
      <c r="D111" s="281"/>
      <c r="E111" s="281"/>
      <c r="F111" s="281"/>
      <c r="G111" s="281"/>
      <c r="H111" s="281"/>
      <c r="I111" s="281"/>
    </row>
    <row r="112" spans="1:9" ht="28.5" x14ac:dyDescent="0.2">
      <c r="A112" s="88">
        <v>6</v>
      </c>
      <c r="B112" s="267" t="s">
        <v>69</v>
      </c>
      <c r="C112" s="268"/>
      <c r="D112" s="268"/>
      <c r="E112" s="268"/>
      <c r="F112" s="268"/>
      <c r="G112" s="269"/>
      <c r="H112" s="89" t="s">
        <v>18</v>
      </c>
      <c r="I112" s="90" t="s">
        <v>19</v>
      </c>
    </row>
    <row r="113" spans="1:9" ht="15" x14ac:dyDescent="0.2">
      <c r="A113" s="8" t="s">
        <v>1</v>
      </c>
      <c r="B113" s="254" t="s">
        <v>70</v>
      </c>
      <c r="C113" s="255"/>
      <c r="D113" s="255"/>
      <c r="E113" s="255"/>
      <c r="F113" s="255"/>
      <c r="G113" s="256"/>
      <c r="H113" s="85">
        <v>0.05</v>
      </c>
      <c r="I113" s="31">
        <f>SUM(H113*I130)</f>
        <v>395.47</v>
      </c>
    </row>
    <row r="114" spans="1:9" ht="15" x14ac:dyDescent="0.2">
      <c r="A114" s="8" t="s">
        <v>3</v>
      </c>
      <c r="B114" s="254" t="s">
        <v>71</v>
      </c>
      <c r="C114" s="255"/>
      <c r="D114" s="255"/>
      <c r="E114" s="255"/>
      <c r="F114" s="255"/>
      <c r="G114" s="256"/>
      <c r="H114" s="85">
        <v>0.05</v>
      </c>
      <c r="I114" s="31">
        <f>H114*(I130+I113)</f>
        <v>415.24</v>
      </c>
    </row>
    <row r="115" spans="1:9" ht="15" x14ac:dyDescent="0.2">
      <c r="A115" s="8" t="s">
        <v>5</v>
      </c>
      <c r="B115" s="254" t="s">
        <v>72</v>
      </c>
      <c r="C115" s="255"/>
      <c r="D115" s="255"/>
      <c r="E115" s="255"/>
      <c r="F115" s="255"/>
      <c r="G115" s="256"/>
      <c r="H115" s="26">
        <f>SUM(H117+H118+H119)</f>
        <v>0.13250000000000001</v>
      </c>
      <c r="I115" s="42">
        <f>SUM(I117:I119)</f>
        <v>1331.89</v>
      </c>
    </row>
    <row r="116" spans="1:9" ht="15" x14ac:dyDescent="0.2">
      <c r="A116" s="16"/>
      <c r="B116" s="254" t="s">
        <v>111</v>
      </c>
      <c r="C116" s="255"/>
      <c r="D116" s="255"/>
      <c r="E116" s="255"/>
      <c r="F116" s="255"/>
      <c r="G116" s="256"/>
      <c r="H116" s="5" t="s">
        <v>45</v>
      </c>
      <c r="I116" s="31" t="s">
        <v>45</v>
      </c>
    </row>
    <row r="117" spans="1:9" ht="12.75" customHeight="1" x14ac:dyDescent="0.2">
      <c r="A117" s="16"/>
      <c r="B117" s="181" t="s">
        <v>93</v>
      </c>
      <c r="C117" s="182"/>
      <c r="D117" s="182"/>
      <c r="E117" s="182"/>
      <c r="F117" s="182"/>
      <c r="G117" s="183"/>
      <c r="H117" s="84">
        <v>7.5999999999999998E-2</v>
      </c>
      <c r="I117" s="31">
        <f>SUM(H117*I132)</f>
        <v>763.95</v>
      </c>
    </row>
    <row r="118" spans="1:9" ht="12.75" customHeight="1" x14ac:dyDescent="0.2">
      <c r="A118" s="16"/>
      <c r="B118" s="181" t="s">
        <v>94</v>
      </c>
      <c r="C118" s="182"/>
      <c r="D118" s="182"/>
      <c r="E118" s="182"/>
      <c r="F118" s="182"/>
      <c r="G118" s="183"/>
      <c r="H118" s="84">
        <v>1.6500000000000001E-2</v>
      </c>
      <c r="I118" s="31">
        <f>SUM(H118*I132)</f>
        <v>165.86</v>
      </c>
    </row>
    <row r="119" spans="1:9" ht="12.75" customHeight="1" x14ac:dyDescent="0.2">
      <c r="A119" s="16"/>
      <c r="B119" s="181" t="s">
        <v>95</v>
      </c>
      <c r="C119" s="182"/>
      <c r="D119" s="182"/>
      <c r="E119" s="182"/>
      <c r="F119" s="182"/>
      <c r="G119" s="183"/>
      <c r="H119" s="84">
        <v>0.04</v>
      </c>
      <c r="I119" s="31">
        <f>SUM(H119*I132)</f>
        <v>402.08</v>
      </c>
    </row>
    <row r="120" spans="1:9" ht="14.25" x14ac:dyDescent="0.2">
      <c r="A120" s="257" t="s">
        <v>26</v>
      </c>
      <c r="B120" s="258"/>
      <c r="C120" s="258"/>
      <c r="D120" s="258"/>
      <c r="E120" s="258"/>
      <c r="F120" s="258"/>
      <c r="G120" s="258"/>
      <c r="H120" s="68"/>
      <c r="I120" s="33">
        <f>SUM(I113+I114+I117+I118+I119)</f>
        <v>2142.6</v>
      </c>
    </row>
    <row r="121" spans="1:9" ht="14.25" x14ac:dyDescent="0.2">
      <c r="A121" s="282"/>
      <c r="B121" s="283"/>
      <c r="C121" s="283"/>
      <c r="D121" s="283"/>
      <c r="E121" s="283"/>
      <c r="F121" s="283"/>
      <c r="G121" s="283"/>
      <c r="H121" s="283"/>
      <c r="I121" s="284"/>
    </row>
    <row r="122" spans="1:9" ht="15" x14ac:dyDescent="0.2">
      <c r="A122" s="285"/>
      <c r="B122" s="286"/>
      <c r="C122" s="286"/>
      <c r="D122" s="286"/>
      <c r="E122" s="286"/>
      <c r="F122" s="286"/>
      <c r="G122" s="286"/>
      <c r="H122" s="286"/>
      <c r="I122" s="286"/>
    </row>
    <row r="123" spans="1:9" ht="19.5" customHeight="1" x14ac:dyDescent="0.2">
      <c r="A123" s="287" t="s">
        <v>98</v>
      </c>
      <c r="B123" s="288"/>
      <c r="C123" s="288"/>
      <c r="D123" s="288"/>
      <c r="E123" s="288"/>
      <c r="F123" s="288"/>
      <c r="G123" s="288"/>
      <c r="H123" s="288"/>
      <c r="I123" s="289"/>
    </row>
    <row r="124" spans="1:9" ht="12.75" customHeight="1" x14ac:dyDescent="0.2">
      <c r="A124" s="208" t="s">
        <v>73</v>
      </c>
      <c r="B124" s="209"/>
      <c r="C124" s="209"/>
      <c r="D124" s="209"/>
      <c r="E124" s="209"/>
      <c r="F124" s="209"/>
      <c r="G124" s="209"/>
      <c r="H124" s="210"/>
      <c r="I124" s="92" t="s">
        <v>19</v>
      </c>
    </row>
    <row r="125" spans="1:9" ht="12.75" customHeight="1" x14ac:dyDescent="0.2">
      <c r="A125" s="17" t="s">
        <v>1</v>
      </c>
      <c r="B125" s="181" t="s">
        <v>74</v>
      </c>
      <c r="C125" s="182"/>
      <c r="D125" s="182"/>
      <c r="E125" s="182"/>
      <c r="F125" s="182"/>
      <c r="G125" s="182"/>
      <c r="H125" s="183"/>
      <c r="I125" s="35">
        <f>I29</f>
        <v>3606.79</v>
      </c>
    </row>
    <row r="126" spans="1:9" ht="12.75" customHeight="1" x14ac:dyDescent="0.2">
      <c r="A126" s="17" t="s">
        <v>3</v>
      </c>
      <c r="B126" s="181" t="s">
        <v>50</v>
      </c>
      <c r="C126" s="182"/>
      <c r="D126" s="182"/>
      <c r="E126" s="182"/>
      <c r="F126" s="182"/>
      <c r="G126" s="182"/>
      <c r="H126" s="183"/>
      <c r="I126" s="35">
        <f>I67</f>
        <v>2736.6</v>
      </c>
    </row>
    <row r="127" spans="1:9" ht="12.75" customHeight="1" x14ac:dyDescent="0.2">
      <c r="A127" s="17" t="s">
        <v>5</v>
      </c>
      <c r="B127" s="181" t="s">
        <v>75</v>
      </c>
      <c r="C127" s="182"/>
      <c r="D127" s="182"/>
      <c r="E127" s="182"/>
      <c r="F127" s="182"/>
      <c r="G127" s="182"/>
      <c r="H127" s="183"/>
      <c r="I127" s="35">
        <f>I77</f>
        <v>746.13</v>
      </c>
    </row>
    <row r="128" spans="1:9" ht="12.75" customHeight="1" x14ac:dyDescent="0.2">
      <c r="A128" s="17" t="s">
        <v>7</v>
      </c>
      <c r="B128" s="181" t="s">
        <v>63</v>
      </c>
      <c r="C128" s="182"/>
      <c r="D128" s="182"/>
      <c r="E128" s="182"/>
      <c r="F128" s="182"/>
      <c r="G128" s="182"/>
      <c r="H128" s="183"/>
      <c r="I128" s="35">
        <f>I98</f>
        <v>677.47</v>
      </c>
    </row>
    <row r="129" spans="1:9" ht="12.75" customHeight="1" x14ac:dyDescent="0.2">
      <c r="A129" s="17" t="s">
        <v>21</v>
      </c>
      <c r="B129" s="181" t="s">
        <v>76</v>
      </c>
      <c r="C129" s="182"/>
      <c r="D129" s="182"/>
      <c r="E129" s="182"/>
      <c r="F129" s="182"/>
      <c r="G129" s="182"/>
      <c r="H129" s="183"/>
      <c r="I129" s="35">
        <f>I104</f>
        <v>142.38999999999999</v>
      </c>
    </row>
    <row r="130" spans="1:9" ht="12.75" customHeight="1" x14ac:dyDescent="0.25">
      <c r="A130" s="306" t="s">
        <v>77</v>
      </c>
      <c r="B130" s="307"/>
      <c r="C130" s="307"/>
      <c r="D130" s="307"/>
      <c r="E130" s="307"/>
      <c r="F130" s="307"/>
      <c r="G130" s="307"/>
      <c r="H130" s="308"/>
      <c r="I130" s="47">
        <f>SUM(I125:I129)</f>
        <v>7909.38</v>
      </c>
    </row>
    <row r="131" spans="1:9" ht="12.75" customHeight="1" x14ac:dyDescent="0.2">
      <c r="A131" s="17" t="s">
        <v>23</v>
      </c>
      <c r="B131" s="181" t="s">
        <v>78</v>
      </c>
      <c r="C131" s="182"/>
      <c r="D131" s="182"/>
      <c r="E131" s="182"/>
      <c r="F131" s="182"/>
      <c r="G131" s="182"/>
      <c r="H131" s="183"/>
      <c r="I131" s="48">
        <f>I120</f>
        <v>2142.6</v>
      </c>
    </row>
    <row r="132" spans="1:9" ht="12.75" customHeight="1" x14ac:dyDescent="0.2">
      <c r="A132" s="309" t="s">
        <v>79</v>
      </c>
      <c r="B132" s="310"/>
      <c r="C132" s="310"/>
      <c r="D132" s="310"/>
      <c r="E132" s="310"/>
      <c r="F132" s="310"/>
      <c r="G132" s="310"/>
      <c r="H132" s="311"/>
      <c r="I132" s="49">
        <f>SUM(I130+I113+I114)/(1-H115)</f>
        <v>10051.98</v>
      </c>
    </row>
    <row r="133" spans="1:9" ht="12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9"/>
    </row>
    <row r="134" spans="1:9" ht="12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9"/>
    </row>
    <row r="135" spans="1:9" ht="15.75" customHeight="1" thickBot="1" x14ac:dyDescent="0.25">
      <c r="A135" s="312" t="s">
        <v>99</v>
      </c>
      <c r="B135" s="312"/>
      <c r="C135" s="312"/>
      <c r="D135" s="312"/>
      <c r="E135" s="312"/>
      <c r="F135" s="312"/>
      <c r="G135" s="312"/>
      <c r="H135" s="312"/>
      <c r="I135" s="312"/>
    </row>
    <row r="136" spans="1:9" ht="41.25" customHeight="1" thickBot="1" x14ac:dyDescent="0.25">
      <c r="A136" s="45" t="s">
        <v>100</v>
      </c>
      <c r="B136" s="65" t="s">
        <v>80</v>
      </c>
      <c r="C136" s="99" t="s">
        <v>101</v>
      </c>
      <c r="D136" s="313" t="s">
        <v>102</v>
      </c>
      <c r="E136" s="314"/>
      <c r="F136" s="315"/>
      <c r="G136" s="66" t="s">
        <v>81</v>
      </c>
      <c r="H136" s="316" t="s">
        <v>103</v>
      </c>
      <c r="I136" s="317"/>
    </row>
    <row r="137" spans="1:9" ht="86.25" customHeight="1" thickBot="1" x14ac:dyDescent="0.25">
      <c r="A137" s="46" t="s">
        <v>169</v>
      </c>
      <c r="B137" s="55">
        <f>I132</f>
        <v>10051.98</v>
      </c>
      <c r="C137" s="46">
        <v>2</v>
      </c>
      <c r="D137" s="293">
        <f>SUM(B137*C137)</f>
        <v>20103.96</v>
      </c>
      <c r="E137" s="294"/>
      <c r="F137" s="295"/>
      <c r="G137" s="67">
        <v>1</v>
      </c>
      <c r="H137" s="296">
        <f>SUM(D137*G137)</f>
        <v>20103.96</v>
      </c>
      <c r="I137" s="297"/>
    </row>
    <row r="138" spans="1:9" ht="15.75" thickBot="1" x14ac:dyDescent="0.3">
      <c r="A138" s="21"/>
      <c r="B138" s="22"/>
      <c r="C138" s="21"/>
      <c r="D138" s="22"/>
      <c r="E138" s="23"/>
      <c r="F138" s="24"/>
      <c r="G138" s="20"/>
      <c r="H138" s="20"/>
      <c r="I138" s="25"/>
    </row>
    <row r="139" spans="1:9" ht="15.75" customHeight="1" thickBot="1" x14ac:dyDescent="0.25">
      <c r="A139" s="298" t="s">
        <v>104</v>
      </c>
      <c r="B139" s="299"/>
      <c r="C139" s="299"/>
      <c r="D139" s="299"/>
      <c r="E139" s="299"/>
      <c r="F139" s="300"/>
      <c r="G139" s="50"/>
      <c r="H139" s="50"/>
      <c r="I139" s="50"/>
    </row>
    <row r="140" spans="1:9" ht="15.75" thickBot="1" x14ac:dyDescent="0.3">
      <c r="A140" s="43"/>
      <c r="B140" s="301" t="s">
        <v>105</v>
      </c>
      <c r="C140" s="302"/>
      <c r="D140" s="302"/>
      <c r="E140" s="303"/>
      <c r="F140" s="43" t="s">
        <v>106</v>
      </c>
      <c r="G140" s="20"/>
      <c r="H140" s="20"/>
      <c r="I140" s="25"/>
    </row>
    <row r="141" spans="1:9" ht="45.75" thickBot="1" x14ac:dyDescent="0.3">
      <c r="A141" s="44" t="s">
        <v>1</v>
      </c>
      <c r="B141" s="51" t="s">
        <v>107</v>
      </c>
      <c r="C141" s="52"/>
      <c r="D141" s="304" t="s">
        <v>108</v>
      </c>
      <c r="E141" s="305"/>
      <c r="F141" s="53">
        <f>H137</f>
        <v>20103.96</v>
      </c>
      <c r="G141" s="20"/>
      <c r="H141" s="20"/>
      <c r="I141" s="25"/>
    </row>
    <row r="142" spans="1:9" ht="26.25" customHeight="1" thickBot="1" x14ac:dyDescent="0.3">
      <c r="A142" s="44" t="s">
        <v>3</v>
      </c>
      <c r="B142" s="290" t="s">
        <v>109</v>
      </c>
      <c r="C142" s="291"/>
      <c r="D142" s="292"/>
      <c r="E142" s="119" t="s">
        <v>180</v>
      </c>
      <c r="F142" s="53">
        <f>H137</f>
        <v>20103.96</v>
      </c>
      <c r="G142" s="20"/>
      <c r="H142" s="20"/>
      <c r="I142" s="25"/>
    </row>
    <row r="143" spans="1:9" ht="69.75" customHeight="1" thickBot="1" x14ac:dyDescent="0.3">
      <c r="A143" s="44" t="s">
        <v>5</v>
      </c>
      <c r="B143" s="290" t="s">
        <v>166</v>
      </c>
      <c r="C143" s="291"/>
      <c r="D143" s="292"/>
      <c r="E143" s="54"/>
      <c r="F143" s="53">
        <f>F142*12</f>
        <v>241247.52</v>
      </c>
      <c r="G143" s="20"/>
      <c r="H143" s="20"/>
      <c r="I143" s="25"/>
    </row>
  </sheetData>
  <mergeCells count="141">
    <mergeCell ref="B143:D143"/>
    <mergeCell ref="D137:F137"/>
    <mergeCell ref="H137:I137"/>
    <mergeCell ref="A139:F139"/>
    <mergeCell ref="B140:E140"/>
    <mergeCell ref="D141:E141"/>
    <mergeCell ref="B142:D142"/>
    <mergeCell ref="A130:H130"/>
    <mergeCell ref="B131:H131"/>
    <mergeCell ref="A132:H132"/>
    <mergeCell ref="A135:I135"/>
    <mergeCell ref="D136:F136"/>
    <mergeCell ref="H136:I136"/>
    <mergeCell ref="A124:H124"/>
    <mergeCell ref="B125:H125"/>
    <mergeCell ref="B126:H126"/>
    <mergeCell ref="B127:H127"/>
    <mergeCell ref="B128:H128"/>
    <mergeCell ref="B129:H129"/>
    <mergeCell ref="B118:G118"/>
    <mergeCell ref="B119:G119"/>
    <mergeCell ref="A120:G120"/>
    <mergeCell ref="A121:I121"/>
    <mergeCell ref="A122:I122"/>
    <mergeCell ref="A123:I123"/>
    <mergeCell ref="B112:G112"/>
    <mergeCell ref="B113:G113"/>
    <mergeCell ref="B114:G114"/>
    <mergeCell ref="B115:G115"/>
    <mergeCell ref="B116:G116"/>
    <mergeCell ref="B117:G117"/>
    <mergeCell ref="B103:H103"/>
    <mergeCell ref="A104:H104"/>
    <mergeCell ref="A105:G110"/>
    <mergeCell ref="A111:I111"/>
    <mergeCell ref="B97:G97"/>
    <mergeCell ref="A98:H98"/>
    <mergeCell ref="A99:I99"/>
    <mergeCell ref="A100:I100"/>
    <mergeCell ref="B101:H101"/>
    <mergeCell ref="B102:H102"/>
    <mergeCell ref="B92:G92"/>
    <mergeCell ref="A93:H93"/>
    <mergeCell ref="A94:I94"/>
    <mergeCell ref="B95:H95"/>
    <mergeCell ref="B96:G96"/>
    <mergeCell ref="B86:G86"/>
    <mergeCell ref="B87:G87"/>
    <mergeCell ref="B88:G88"/>
    <mergeCell ref="B89:G89"/>
    <mergeCell ref="A90:H90"/>
    <mergeCell ref="B91:H91"/>
    <mergeCell ref="A77:H77"/>
    <mergeCell ref="A78:G81"/>
    <mergeCell ref="A82:I82"/>
    <mergeCell ref="B83:G83"/>
    <mergeCell ref="B84:G84"/>
    <mergeCell ref="B85:G85"/>
    <mergeCell ref="B71:G71"/>
    <mergeCell ref="B72:G72"/>
    <mergeCell ref="B73:G73"/>
    <mergeCell ref="B74:G74"/>
    <mergeCell ref="B75:G75"/>
    <mergeCell ref="B76:G76"/>
    <mergeCell ref="B65:H65"/>
    <mergeCell ref="B66:H66"/>
    <mergeCell ref="A67:H67"/>
    <mergeCell ref="A68:I68"/>
    <mergeCell ref="A69:I69"/>
    <mergeCell ref="B70:G70"/>
    <mergeCell ref="B59:G59"/>
    <mergeCell ref="B60:G60"/>
    <mergeCell ref="B61:H61"/>
    <mergeCell ref="A62:I62"/>
    <mergeCell ref="B63:H63"/>
    <mergeCell ref="B64:H64"/>
    <mergeCell ref="B53:G53"/>
    <mergeCell ref="B54:G54"/>
    <mergeCell ref="B55:G55"/>
    <mergeCell ref="B56:G56"/>
    <mergeCell ref="B57:G57"/>
    <mergeCell ref="B58:G58"/>
    <mergeCell ref="B47:G47"/>
    <mergeCell ref="B48:G48"/>
    <mergeCell ref="A49:G49"/>
    <mergeCell ref="A50:I50"/>
    <mergeCell ref="B51:H51"/>
    <mergeCell ref="B52:H52"/>
    <mergeCell ref="B41:G41"/>
    <mergeCell ref="B42:G42"/>
    <mergeCell ref="B43:G43"/>
    <mergeCell ref="B44:G44"/>
    <mergeCell ref="B45:G45"/>
    <mergeCell ref="B46:G46"/>
    <mergeCell ref="B33:G33"/>
    <mergeCell ref="B34:G34"/>
    <mergeCell ref="A35:G35"/>
    <mergeCell ref="A36:G38"/>
    <mergeCell ref="A39:I39"/>
    <mergeCell ref="B40:G40"/>
    <mergeCell ref="B28:G28"/>
    <mergeCell ref="A29:H29"/>
    <mergeCell ref="A30:I30"/>
    <mergeCell ref="A31:I31"/>
    <mergeCell ref="B32:G32"/>
    <mergeCell ref="B22:G22"/>
    <mergeCell ref="B23:H23"/>
    <mergeCell ref="B24:G24"/>
    <mergeCell ref="B25:G25"/>
    <mergeCell ref="B26:G26"/>
    <mergeCell ref="B27:G27"/>
    <mergeCell ref="B18:G18"/>
    <mergeCell ref="H18:I18"/>
    <mergeCell ref="B19:G19"/>
    <mergeCell ref="H19:I19"/>
    <mergeCell ref="A20:I20"/>
    <mergeCell ref="A21:I21"/>
    <mergeCell ref="B15:G15"/>
    <mergeCell ref="H15:I15"/>
    <mergeCell ref="B16:G16"/>
    <mergeCell ref="H16:I16"/>
    <mergeCell ref="B17:G17"/>
    <mergeCell ref="H17:I17"/>
    <mergeCell ref="B10:G10"/>
    <mergeCell ref="H10:I10"/>
    <mergeCell ref="A11:I11"/>
    <mergeCell ref="A12:I12"/>
    <mergeCell ref="A13:I13"/>
    <mergeCell ref="A14:I14"/>
    <mergeCell ref="B7:G7"/>
    <mergeCell ref="H7:I7"/>
    <mergeCell ref="B8:G8"/>
    <mergeCell ref="H8:I8"/>
    <mergeCell ref="B9:G9"/>
    <mergeCell ref="H9:I9"/>
    <mergeCell ref="A1:I1"/>
    <mergeCell ref="A2:I2"/>
    <mergeCell ref="A3:I3"/>
    <mergeCell ref="A4:I4"/>
    <mergeCell ref="A5:I5"/>
    <mergeCell ref="A6:I6"/>
  </mergeCells>
  <pageMargins left="0.511811024" right="0.511811024" top="0.78740157499999996" bottom="0.78740157499999996" header="0.31496062000000002" footer="0.31496062000000002"/>
  <pageSetup paperSize="9" scale="65" orientation="portrait" r:id="rId1"/>
  <rowBreaks count="2" manualBreakCount="2">
    <brk id="49" max="8" man="1"/>
    <brk id="110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3"/>
  <sheetViews>
    <sheetView topLeftCell="A154" zoomScale="95" zoomScaleNormal="95" zoomScaleSheetLayoutView="100" workbookViewId="0">
      <selection activeCell="B19" sqref="B19:G19"/>
    </sheetView>
  </sheetViews>
  <sheetFormatPr defaultColWidth="12.28515625" defaultRowHeight="12.75" x14ac:dyDescent="0.2"/>
  <cols>
    <col min="1" max="1" width="13.7109375" customWidth="1"/>
    <col min="2" max="2" width="13.7109375" bestFit="1" customWidth="1"/>
    <col min="3" max="3" width="14" customWidth="1"/>
    <col min="4" max="4" width="14.7109375" customWidth="1"/>
    <col min="5" max="5" width="12.42578125" bestFit="1" customWidth="1"/>
    <col min="6" max="6" width="17.5703125" bestFit="1" customWidth="1"/>
    <col min="8" max="8" width="13.28515625" customWidth="1"/>
    <col min="9" max="9" width="23.85546875" style="1" customWidth="1"/>
  </cols>
  <sheetData>
    <row r="1" spans="1:9" ht="61.5" customHeight="1" x14ac:dyDescent="0.2">
      <c r="A1" s="318" t="s">
        <v>124</v>
      </c>
      <c r="B1" s="189"/>
      <c r="C1" s="189"/>
      <c r="D1" s="189"/>
      <c r="E1" s="189"/>
      <c r="F1" s="189"/>
      <c r="G1" s="189"/>
      <c r="H1" s="189"/>
      <c r="I1" s="189"/>
    </row>
    <row r="2" spans="1:9" ht="12.75" customHeight="1" x14ac:dyDescent="0.2">
      <c r="A2" s="190" t="s">
        <v>185</v>
      </c>
      <c r="B2" s="190"/>
      <c r="C2" s="190"/>
      <c r="D2" s="190"/>
      <c r="E2" s="190"/>
      <c r="F2" s="190"/>
      <c r="G2" s="190"/>
      <c r="H2" s="190"/>
      <c r="I2" s="190"/>
    </row>
    <row r="3" spans="1:9" ht="12.75" customHeight="1" x14ac:dyDescent="0.2">
      <c r="A3" s="190" t="s">
        <v>193</v>
      </c>
      <c r="B3" s="190"/>
      <c r="C3" s="190"/>
      <c r="D3" s="190"/>
      <c r="E3" s="190"/>
      <c r="F3" s="190"/>
      <c r="G3" s="190"/>
      <c r="H3" s="190"/>
      <c r="I3" s="190"/>
    </row>
    <row r="4" spans="1:9" ht="12.75" customHeight="1" x14ac:dyDescent="0.2">
      <c r="A4" s="190" t="s">
        <v>194</v>
      </c>
      <c r="B4" s="191"/>
      <c r="C4" s="191"/>
      <c r="D4" s="191"/>
      <c r="E4" s="191"/>
      <c r="F4" s="191"/>
      <c r="G4" s="191"/>
      <c r="H4" s="191"/>
      <c r="I4" s="191"/>
    </row>
    <row r="5" spans="1:9" ht="12.75" customHeight="1" x14ac:dyDescent="0.2">
      <c r="A5" s="192"/>
      <c r="B5" s="192"/>
      <c r="C5" s="192"/>
      <c r="D5" s="192"/>
      <c r="E5" s="192"/>
      <c r="F5" s="192"/>
      <c r="G5" s="192"/>
      <c r="H5" s="192"/>
      <c r="I5" s="192"/>
    </row>
    <row r="6" spans="1:9" ht="21" customHeight="1" x14ac:dyDescent="0.2">
      <c r="A6" s="193" t="s">
        <v>0</v>
      </c>
      <c r="B6" s="194"/>
      <c r="C6" s="194"/>
      <c r="D6" s="194"/>
      <c r="E6" s="194"/>
      <c r="F6" s="194"/>
      <c r="G6" s="194"/>
      <c r="H6" s="194"/>
      <c r="I6" s="195"/>
    </row>
    <row r="7" spans="1:9" ht="12.75" customHeight="1" x14ac:dyDescent="0.2">
      <c r="A7" s="2" t="s">
        <v>1</v>
      </c>
      <c r="B7" s="176" t="s">
        <v>2</v>
      </c>
      <c r="C7" s="177"/>
      <c r="D7" s="177"/>
      <c r="E7" s="177"/>
      <c r="F7" s="177"/>
      <c r="G7" s="178"/>
      <c r="H7" s="179" t="s">
        <v>192</v>
      </c>
      <c r="I7" s="180"/>
    </row>
    <row r="8" spans="1:9" ht="12.75" customHeight="1" x14ac:dyDescent="0.2">
      <c r="A8" s="3" t="s">
        <v>3</v>
      </c>
      <c r="B8" s="181" t="s">
        <v>4</v>
      </c>
      <c r="C8" s="182"/>
      <c r="D8" s="182"/>
      <c r="E8" s="182"/>
      <c r="F8" s="182"/>
      <c r="G8" s="183"/>
      <c r="H8" s="184" t="s">
        <v>182</v>
      </c>
      <c r="I8" s="185"/>
    </row>
    <row r="9" spans="1:9" ht="12.75" customHeight="1" x14ac:dyDescent="0.2">
      <c r="A9" s="3" t="s">
        <v>5</v>
      </c>
      <c r="B9" s="181" t="s">
        <v>6</v>
      </c>
      <c r="C9" s="182"/>
      <c r="D9" s="182"/>
      <c r="E9" s="182"/>
      <c r="F9" s="182"/>
      <c r="G9" s="183"/>
      <c r="H9" s="186" t="s">
        <v>191</v>
      </c>
      <c r="I9" s="187"/>
    </row>
    <row r="10" spans="1:9" ht="12.75" customHeight="1" x14ac:dyDescent="0.2">
      <c r="A10" s="3" t="s">
        <v>7</v>
      </c>
      <c r="B10" s="181" t="s">
        <v>8</v>
      </c>
      <c r="C10" s="182"/>
      <c r="D10" s="182"/>
      <c r="E10" s="182"/>
      <c r="F10" s="182"/>
      <c r="G10" s="183"/>
      <c r="H10" s="184">
        <v>12</v>
      </c>
      <c r="I10" s="185"/>
    </row>
    <row r="11" spans="1:9" ht="12.75" customHeight="1" x14ac:dyDescent="0.2">
      <c r="A11" s="181" t="s">
        <v>9</v>
      </c>
      <c r="B11" s="182"/>
      <c r="C11" s="182"/>
      <c r="D11" s="182"/>
      <c r="E11" s="182"/>
      <c r="F11" s="182"/>
      <c r="G11" s="182"/>
      <c r="H11" s="182"/>
      <c r="I11" s="183"/>
    </row>
    <row r="12" spans="1:9" ht="14.25" x14ac:dyDescent="0.2">
      <c r="A12" s="202"/>
      <c r="B12" s="203"/>
      <c r="C12" s="203"/>
      <c r="D12" s="203"/>
      <c r="E12" s="203"/>
      <c r="F12" s="203"/>
      <c r="G12" s="203"/>
      <c r="H12" s="203"/>
      <c r="I12" s="204"/>
    </row>
    <row r="13" spans="1:9" ht="21.75" customHeight="1" x14ac:dyDescent="0.2">
      <c r="A13" s="205" t="s">
        <v>90</v>
      </c>
      <c r="B13" s="206"/>
      <c r="C13" s="206"/>
      <c r="D13" s="206"/>
      <c r="E13" s="206"/>
      <c r="F13" s="206"/>
      <c r="G13" s="206"/>
      <c r="H13" s="206"/>
      <c r="I13" s="207"/>
    </row>
    <row r="14" spans="1:9" ht="12.75" customHeight="1" x14ac:dyDescent="0.2">
      <c r="A14" s="208" t="s">
        <v>10</v>
      </c>
      <c r="B14" s="209"/>
      <c r="C14" s="209"/>
      <c r="D14" s="209"/>
      <c r="E14" s="209"/>
      <c r="F14" s="209"/>
      <c r="G14" s="209"/>
      <c r="H14" s="209"/>
      <c r="I14" s="210"/>
    </row>
    <row r="15" spans="1:9" ht="27" customHeight="1" x14ac:dyDescent="0.2">
      <c r="A15" s="3">
        <v>1</v>
      </c>
      <c r="B15" s="181" t="s">
        <v>11</v>
      </c>
      <c r="C15" s="182"/>
      <c r="D15" s="182"/>
      <c r="E15" s="182"/>
      <c r="F15" s="182"/>
      <c r="G15" s="183"/>
      <c r="H15" s="196" t="s">
        <v>160</v>
      </c>
      <c r="I15" s="197"/>
    </row>
    <row r="16" spans="1:9" ht="12.75" customHeight="1" x14ac:dyDescent="0.2">
      <c r="A16" s="3">
        <v>2</v>
      </c>
      <c r="B16" s="181" t="s">
        <v>12</v>
      </c>
      <c r="C16" s="182"/>
      <c r="D16" s="182"/>
      <c r="E16" s="182"/>
      <c r="F16" s="182"/>
      <c r="G16" s="183"/>
      <c r="H16" s="198" t="s">
        <v>153</v>
      </c>
      <c r="I16" s="199"/>
    </row>
    <row r="17" spans="1:9" ht="12.75" customHeight="1" x14ac:dyDescent="0.2">
      <c r="A17" s="3">
        <v>3</v>
      </c>
      <c r="B17" s="181" t="s">
        <v>13</v>
      </c>
      <c r="C17" s="182"/>
      <c r="D17" s="182"/>
      <c r="E17" s="182"/>
      <c r="F17" s="182"/>
      <c r="G17" s="183"/>
      <c r="H17" s="200">
        <v>3132.76</v>
      </c>
      <c r="I17" s="201"/>
    </row>
    <row r="18" spans="1:9" ht="15" customHeight="1" x14ac:dyDescent="0.2">
      <c r="A18" s="3">
        <v>4</v>
      </c>
      <c r="B18" s="181" t="s">
        <v>14</v>
      </c>
      <c r="C18" s="182"/>
      <c r="D18" s="182"/>
      <c r="E18" s="182"/>
      <c r="F18" s="182"/>
      <c r="G18" s="183"/>
      <c r="H18" s="218" t="s">
        <v>183</v>
      </c>
      <c r="I18" s="219"/>
    </row>
    <row r="19" spans="1:9" ht="12.75" customHeight="1" x14ac:dyDescent="0.25">
      <c r="A19" s="4">
        <v>5</v>
      </c>
      <c r="B19" s="181" t="s">
        <v>15</v>
      </c>
      <c r="C19" s="182"/>
      <c r="D19" s="182"/>
      <c r="E19" s="182"/>
      <c r="F19" s="182"/>
      <c r="G19" s="183"/>
      <c r="H19" s="220" t="s">
        <v>184</v>
      </c>
      <c r="I19" s="221"/>
    </row>
    <row r="20" spans="1:9" ht="15" x14ac:dyDescent="0.2">
      <c r="A20" s="222"/>
      <c r="B20" s="223"/>
      <c r="C20" s="223"/>
      <c r="D20" s="223"/>
      <c r="E20" s="223"/>
      <c r="F20" s="223"/>
      <c r="G20" s="223"/>
      <c r="H20" s="223"/>
      <c r="I20" s="224"/>
    </row>
    <row r="21" spans="1:9" ht="23.25" customHeight="1" x14ac:dyDescent="0.2">
      <c r="A21" s="205" t="s">
        <v>16</v>
      </c>
      <c r="B21" s="206"/>
      <c r="C21" s="206"/>
      <c r="D21" s="206"/>
      <c r="E21" s="206"/>
      <c r="F21" s="206"/>
      <c r="G21" s="206"/>
      <c r="H21" s="206"/>
      <c r="I21" s="207"/>
    </row>
    <row r="22" spans="1:9" ht="12.75" customHeight="1" x14ac:dyDescent="0.2">
      <c r="A22" s="86">
        <v>1</v>
      </c>
      <c r="B22" s="208" t="s">
        <v>17</v>
      </c>
      <c r="C22" s="209"/>
      <c r="D22" s="209"/>
      <c r="E22" s="209"/>
      <c r="F22" s="209"/>
      <c r="G22" s="210"/>
      <c r="H22" s="86" t="s">
        <v>18</v>
      </c>
      <c r="I22" s="87" t="s">
        <v>19</v>
      </c>
    </row>
    <row r="23" spans="1:9" ht="12.75" customHeight="1" x14ac:dyDescent="0.2">
      <c r="A23" s="3" t="s">
        <v>1</v>
      </c>
      <c r="B23" s="181" t="s">
        <v>157</v>
      </c>
      <c r="C23" s="182"/>
      <c r="D23" s="182"/>
      <c r="E23" s="182"/>
      <c r="F23" s="182"/>
      <c r="G23" s="182"/>
      <c r="H23" s="183"/>
      <c r="I23" s="31">
        <f>H17</f>
        <v>3132.76</v>
      </c>
    </row>
    <row r="24" spans="1:9" ht="12.75" customHeight="1" x14ac:dyDescent="0.2">
      <c r="A24" s="3" t="s">
        <v>3</v>
      </c>
      <c r="B24" s="211" t="s">
        <v>86</v>
      </c>
      <c r="C24" s="212"/>
      <c r="D24" s="212"/>
      <c r="E24" s="212"/>
      <c r="F24" s="212"/>
      <c r="G24" s="213"/>
      <c r="H24" s="5">
        <v>0.3</v>
      </c>
      <c r="I24" s="31">
        <f>H24*I23</f>
        <v>939.83</v>
      </c>
    </row>
    <row r="25" spans="1:9" ht="12.75" customHeight="1" x14ac:dyDescent="0.2">
      <c r="A25" s="3" t="s">
        <v>5</v>
      </c>
      <c r="B25" s="214" t="s">
        <v>87</v>
      </c>
      <c r="C25" s="215"/>
      <c r="D25" s="215"/>
      <c r="E25" s="215"/>
      <c r="F25" s="215"/>
      <c r="G25" s="216"/>
      <c r="I25" s="113"/>
    </row>
    <row r="26" spans="1:9" ht="12.75" customHeight="1" x14ac:dyDescent="0.2">
      <c r="A26" s="3" t="s">
        <v>7</v>
      </c>
      <c r="B26" s="217" t="s">
        <v>20</v>
      </c>
      <c r="C26" s="217"/>
      <c r="D26" s="217"/>
      <c r="E26" s="217"/>
      <c r="F26" s="217"/>
      <c r="G26" s="217"/>
      <c r="H26" s="3"/>
      <c r="I26" s="31">
        <f>(I23+I24)*(7/12)*20%</f>
        <v>475.14</v>
      </c>
    </row>
    <row r="27" spans="1:9" ht="12.75" customHeight="1" x14ac:dyDescent="0.2">
      <c r="A27" s="3" t="s">
        <v>21</v>
      </c>
      <c r="B27" s="217" t="s">
        <v>22</v>
      </c>
      <c r="C27" s="217"/>
      <c r="D27" s="217"/>
      <c r="E27" s="217"/>
      <c r="F27" s="217"/>
      <c r="G27" s="217"/>
      <c r="H27" s="6"/>
      <c r="I27" s="31">
        <f>(I23+I24)*1/12*1.2</f>
        <v>407.26</v>
      </c>
    </row>
    <row r="28" spans="1:9" ht="12.75" customHeight="1" x14ac:dyDescent="0.25">
      <c r="A28" s="7" t="s">
        <v>23</v>
      </c>
      <c r="B28" s="217" t="s">
        <v>162</v>
      </c>
      <c r="C28" s="217"/>
      <c r="D28" s="217"/>
      <c r="E28" s="217"/>
      <c r="F28" s="217"/>
      <c r="G28" s="217"/>
      <c r="H28" s="6"/>
      <c r="I28" s="31"/>
    </row>
    <row r="29" spans="1:9" ht="12.75" customHeight="1" x14ac:dyDescent="0.2">
      <c r="A29" s="240" t="s">
        <v>26</v>
      </c>
      <c r="B29" s="241"/>
      <c r="C29" s="241"/>
      <c r="D29" s="241"/>
      <c r="E29" s="241"/>
      <c r="F29" s="241"/>
      <c r="G29" s="241"/>
      <c r="H29" s="242"/>
      <c r="I29" s="30">
        <f>SUM(I23:I28)</f>
        <v>4954.99</v>
      </c>
    </row>
    <row r="30" spans="1:9" ht="14.25" x14ac:dyDescent="0.2">
      <c r="A30" s="202"/>
      <c r="B30" s="203"/>
      <c r="C30" s="203"/>
      <c r="D30" s="203"/>
      <c r="E30" s="203"/>
      <c r="F30" s="203"/>
      <c r="G30" s="203"/>
      <c r="H30" s="203"/>
      <c r="I30" s="204"/>
    </row>
    <row r="31" spans="1:9" ht="23.25" customHeight="1" x14ac:dyDescent="0.2">
      <c r="A31" s="243" t="s">
        <v>27</v>
      </c>
      <c r="B31" s="244"/>
      <c r="C31" s="244"/>
      <c r="D31" s="244"/>
      <c r="E31" s="244"/>
      <c r="F31" s="244"/>
      <c r="G31" s="244"/>
      <c r="H31" s="244"/>
      <c r="I31" s="245"/>
    </row>
    <row r="32" spans="1:9" ht="18" customHeight="1" x14ac:dyDescent="0.2">
      <c r="A32" s="88" t="s">
        <v>28</v>
      </c>
      <c r="B32" s="193" t="s">
        <v>29</v>
      </c>
      <c r="C32" s="194"/>
      <c r="D32" s="194"/>
      <c r="E32" s="194"/>
      <c r="F32" s="194"/>
      <c r="G32" s="194"/>
      <c r="H32" s="89" t="s">
        <v>96</v>
      </c>
      <c r="I32" s="90" t="s">
        <v>19</v>
      </c>
    </row>
    <row r="33" spans="1:9" ht="30" customHeight="1" x14ac:dyDescent="0.2">
      <c r="A33" s="8" t="s">
        <v>1</v>
      </c>
      <c r="B33" s="181" t="s">
        <v>88</v>
      </c>
      <c r="C33" s="182"/>
      <c r="D33" s="182"/>
      <c r="E33" s="182"/>
      <c r="F33" s="182"/>
      <c r="G33" s="183"/>
      <c r="H33" s="32">
        <v>8.3333333333333329E-2</v>
      </c>
      <c r="I33" s="31">
        <f>TRUNC(I29*H33,2)</f>
        <v>412.91</v>
      </c>
    </row>
    <row r="34" spans="1:9" ht="27" customHeight="1" x14ac:dyDescent="0.2">
      <c r="A34" s="8" t="s">
        <v>3</v>
      </c>
      <c r="B34" s="181" t="s">
        <v>89</v>
      </c>
      <c r="C34" s="182"/>
      <c r="D34" s="182"/>
      <c r="E34" s="182"/>
      <c r="F34" s="182"/>
      <c r="G34" s="183"/>
      <c r="H34" s="32">
        <v>0.121</v>
      </c>
      <c r="I34" s="31">
        <f>TRUNC(I29*H34,2)</f>
        <v>599.54999999999995</v>
      </c>
    </row>
    <row r="35" spans="1:9" ht="14.25" x14ac:dyDescent="0.2">
      <c r="A35" s="225" t="s">
        <v>26</v>
      </c>
      <c r="B35" s="226"/>
      <c r="C35" s="226"/>
      <c r="D35" s="226"/>
      <c r="E35" s="226"/>
      <c r="F35" s="226"/>
      <c r="G35" s="227"/>
      <c r="H35" s="29">
        <f>SUM(H33:H34)</f>
        <v>0.20430000000000001</v>
      </c>
      <c r="I35" s="33">
        <f>SUM(I33:I34)</f>
        <v>1012.46</v>
      </c>
    </row>
    <row r="36" spans="1:9" ht="14.25" x14ac:dyDescent="0.2">
      <c r="A36" s="228" t="s">
        <v>113</v>
      </c>
      <c r="B36" s="229"/>
      <c r="C36" s="229"/>
      <c r="D36" s="229"/>
      <c r="E36" s="229"/>
      <c r="F36" s="229"/>
      <c r="G36" s="230"/>
      <c r="H36" s="56" t="s">
        <v>114</v>
      </c>
      <c r="I36" s="57">
        <f>I29</f>
        <v>4954.99</v>
      </c>
    </row>
    <row r="37" spans="1:9" ht="14.25" x14ac:dyDescent="0.2">
      <c r="A37" s="231"/>
      <c r="B37" s="232"/>
      <c r="C37" s="232"/>
      <c r="D37" s="232"/>
      <c r="E37" s="232"/>
      <c r="F37" s="232"/>
      <c r="G37" s="233"/>
      <c r="H37" s="56" t="s">
        <v>115</v>
      </c>
      <c r="I37" s="57">
        <f>I35</f>
        <v>1012.46</v>
      </c>
    </row>
    <row r="38" spans="1:9" ht="14.25" x14ac:dyDescent="0.2">
      <c r="A38" s="234"/>
      <c r="B38" s="235"/>
      <c r="C38" s="235"/>
      <c r="D38" s="235"/>
      <c r="E38" s="235"/>
      <c r="F38" s="235"/>
      <c r="G38" s="236"/>
      <c r="H38" s="56" t="s">
        <v>26</v>
      </c>
      <c r="I38" s="57">
        <f>SUM(I36:I37)</f>
        <v>5967.45</v>
      </c>
    </row>
    <row r="39" spans="1:9" ht="33" customHeight="1" x14ac:dyDescent="0.2">
      <c r="A39" s="237" t="s">
        <v>116</v>
      </c>
      <c r="B39" s="238"/>
      <c r="C39" s="238"/>
      <c r="D39" s="238"/>
      <c r="E39" s="238"/>
      <c r="F39" s="238"/>
      <c r="G39" s="238"/>
      <c r="H39" s="238"/>
      <c r="I39" s="239"/>
    </row>
    <row r="40" spans="1:9" ht="19.5" customHeight="1" x14ac:dyDescent="0.2">
      <c r="A40" s="91" t="s">
        <v>31</v>
      </c>
      <c r="B40" s="208" t="s">
        <v>32</v>
      </c>
      <c r="C40" s="209"/>
      <c r="D40" s="209"/>
      <c r="E40" s="209"/>
      <c r="F40" s="209"/>
      <c r="G40" s="210"/>
      <c r="H40" s="89" t="s">
        <v>96</v>
      </c>
      <c r="I40" s="92" t="s">
        <v>19</v>
      </c>
    </row>
    <row r="41" spans="1:9" ht="12.75" customHeight="1" x14ac:dyDescent="0.2">
      <c r="A41" s="9" t="s">
        <v>1</v>
      </c>
      <c r="B41" s="181" t="s">
        <v>33</v>
      </c>
      <c r="C41" s="182"/>
      <c r="D41" s="182"/>
      <c r="E41" s="182"/>
      <c r="F41" s="182"/>
      <c r="G41" s="183"/>
      <c r="H41" s="5">
        <v>0.2</v>
      </c>
      <c r="I41" s="31">
        <f>TRUNC(I38*H41,2)</f>
        <v>1193.49</v>
      </c>
    </row>
    <row r="42" spans="1:9" ht="12.75" customHeight="1" x14ac:dyDescent="0.2">
      <c r="A42" s="9" t="s">
        <v>3</v>
      </c>
      <c r="B42" s="181" t="s">
        <v>34</v>
      </c>
      <c r="C42" s="182"/>
      <c r="D42" s="182"/>
      <c r="E42" s="182"/>
      <c r="F42" s="182"/>
      <c r="G42" s="183"/>
      <c r="H42" s="5">
        <v>2.5000000000000001E-2</v>
      </c>
      <c r="I42" s="31">
        <f>TRUNC(I38*H42,2)</f>
        <v>149.18</v>
      </c>
    </row>
    <row r="43" spans="1:9" ht="17.25" customHeight="1" x14ac:dyDescent="0.2">
      <c r="A43" s="9" t="s">
        <v>5</v>
      </c>
      <c r="B43" s="181" t="s">
        <v>112</v>
      </c>
      <c r="C43" s="182"/>
      <c r="D43" s="182"/>
      <c r="E43" s="182"/>
      <c r="F43" s="182"/>
      <c r="G43" s="183"/>
      <c r="H43" s="104">
        <v>0.03</v>
      </c>
      <c r="I43" s="31">
        <f>TRUNC(I38*H43,2)</f>
        <v>179.02</v>
      </c>
    </row>
    <row r="44" spans="1:9" ht="12.75" customHeight="1" x14ac:dyDescent="0.2">
      <c r="A44" s="9" t="s">
        <v>7</v>
      </c>
      <c r="B44" s="181" t="s">
        <v>35</v>
      </c>
      <c r="C44" s="182"/>
      <c r="D44" s="182"/>
      <c r="E44" s="182"/>
      <c r="F44" s="182"/>
      <c r="G44" s="183"/>
      <c r="H44" s="5">
        <v>1.4999999999999999E-2</v>
      </c>
      <c r="I44" s="31">
        <f>TRUNC(I38*H44,2)</f>
        <v>89.51</v>
      </c>
    </row>
    <row r="45" spans="1:9" ht="12.75" customHeight="1" x14ac:dyDescent="0.2">
      <c r="A45" s="9" t="s">
        <v>21</v>
      </c>
      <c r="B45" s="181" t="s">
        <v>36</v>
      </c>
      <c r="C45" s="182"/>
      <c r="D45" s="182"/>
      <c r="E45" s="182"/>
      <c r="F45" s="182"/>
      <c r="G45" s="183"/>
      <c r="H45" s="5">
        <v>0.01</v>
      </c>
      <c r="I45" s="31">
        <f>TRUNC(I38*H45,2)</f>
        <v>59.67</v>
      </c>
    </row>
    <row r="46" spans="1:9" ht="12.75" customHeight="1" x14ac:dyDescent="0.2">
      <c r="A46" s="9" t="s">
        <v>23</v>
      </c>
      <c r="B46" s="181" t="s">
        <v>37</v>
      </c>
      <c r="C46" s="182"/>
      <c r="D46" s="182"/>
      <c r="E46" s="182"/>
      <c r="F46" s="182"/>
      <c r="G46" s="183"/>
      <c r="H46" s="5">
        <v>6.0000000000000001E-3</v>
      </c>
      <c r="I46" s="31">
        <f>TRUNC(I38*H46,2)</f>
        <v>35.799999999999997</v>
      </c>
    </row>
    <row r="47" spans="1:9" ht="12.75" customHeight="1" x14ac:dyDescent="0.2">
      <c r="A47" s="9" t="s">
        <v>24</v>
      </c>
      <c r="B47" s="181" t="s">
        <v>38</v>
      </c>
      <c r="C47" s="182"/>
      <c r="D47" s="182"/>
      <c r="E47" s="182"/>
      <c r="F47" s="182"/>
      <c r="G47" s="183"/>
      <c r="H47" s="5">
        <v>2E-3</v>
      </c>
      <c r="I47" s="31">
        <f>TRUNC(I38*H47,2)</f>
        <v>11.93</v>
      </c>
    </row>
    <row r="48" spans="1:9" ht="12.75" customHeight="1" x14ac:dyDescent="0.2">
      <c r="A48" s="10" t="s">
        <v>39</v>
      </c>
      <c r="B48" s="181" t="s">
        <v>40</v>
      </c>
      <c r="C48" s="182"/>
      <c r="D48" s="182"/>
      <c r="E48" s="182"/>
      <c r="F48" s="182"/>
      <c r="G48" s="183"/>
      <c r="H48" s="103">
        <v>0.08</v>
      </c>
      <c r="I48" s="31">
        <f>SUM(I38*H48)</f>
        <v>477.4</v>
      </c>
    </row>
    <row r="49" spans="1:14" ht="18.75" customHeight="1" x14ac:dyDescent="0.2">
      <c r="A49" s="246" t="s">
        <v>30</v>
      </c>
      <c r="B49" s="247"/>
      <c r="C49" s="247"/>
      <c r="D49" s="247"/>
      <c r="E49" s="247"/>
      <c r="F49" s="247"/>
      <c r="G49" s="248"/>
      <c r="H49" s="34">
        <f>SUM(H41:H48)</f>
        <v>0.36799999999999999</v>
      </c>
      <c r="I49" s="33">
        <f>SUM(I41:I48)</f>
        <v>2196</v>
      </c>
    </row>
    <row r="50" spans="1:14" ht="33" customHeight="1" x14ac:dyDescent="0.2">
      <c r="A50" s="249" t="s">
        <v>117</v>
      </c>
      <c r="B50" s="250"/>
      <c r="C50" s="250"/>
      <c r="D50" s="250"/>
      <c r="E50" s="250"/>
      <c r="F50" s="250"/>
      <c r="G50" s="250"/>
      <c r="H50" s="250"/>
      <c r="I50" s="250"/>
    </row>
    <row r="51" spans="1:14" ht="17.25" customHeight="1" x14ac:dyDescent="0.2">
      <c r="A51" s="93" t="s">
        <v>41</v>
      </c>
      <c r="B51" s="251" t="s">
        <v>42</v>
      </c>
      <c r="C51" s="252"/>
      <c r="D51" s="252"/>
      <c r="E51" s="252"/>
      <c r="F51" s="252"/>
      <c r="G51" s="252"/>
      <c r="H51" s="253"/>
      <c r="I51" s="94" t="s">
        <v>19</v>
      </c>
    </row>
    <row r="52" spans="1:14" ht="15" x14ac:dyDescent="0.2">
      <c r="A52" s="8" t="s">
        <v>1</v>
      </c>
      <c r="B52" s="254" t="s">
        <v>161</v>
      </c>
      <c r="C52" s="255"/>
      <c r="D52" s="255"/>
      <c r="E52" s="255"/>
      <c r="F52" s="255"/>
      <c r="G52" s="255"/>
      <c r="H52" s="256"/>
      <c r="I52" s="156">
        <f>K52-L52</f>
        <v>-13.97</v>
      </c>
      <c r="K52">
        <f>H54*H53*15</f>
        <v>174</v>
      </c>
      <c r="L52" s="122">
        <f>I23*H55</f>
        <v>187.97</v>
      </c>
      <c r="N52" s="157"/>
    </row>
    <row r="53" spans="1:14" ht="24.75" customHeight="1" x14ac:dyDescent="0.2">
      <c r="A53" s="8"/>
      <c r="B53" s="263" t="s">
        <v>44</v>
      </c>
      <c r="C53" s="264"/>
      <c r="D53" s="264"/>
      <c r="E53" s="264"/>
      <c r="F53" s="264"/>
      <c r="G53" s="265"/>
      <c r="H53" s="100">
        <v>5.8</v>
      </c>
      <c r="I53" s="31" t="s">
        <v>45</v>
      </c>
    </row>
    <row r="54" spans="1:14" ht="12.75" customHeight="1" x14ac:dyDescent="0.2">
      <c r="A54" s="11"/>
      <c r="B54" s="263" t="s">
        <v>110</v>
      </c>
      <c r="C54" s="264"/>
      <c r="D54" s="264"/>
      <c r="E54" s="264"/>
      <c r="F54" s="264"/>
      <c r="G54" s="265"/>
      <c r="H54" s="101">
        <v>2</v>
      </c>
      <c r="I54" s="36" t="s">
        <v>45</v>
      </c>
    </row>
    <row r="55" spans="1:14" ht="12.75" customHeight="1" x14ac:dyDescent="0.2">
      <c r="A55" s="8"/>
      <c r="B55" s="263" t="s">
        <v>46</v>
      </c>
      <c r="C55" s="264"/>
      <c r="D55" s="264"/>
      <c r="E55" s="264"/>
      <c r="F55" s="264"/>
      <c r="G55" s="265"/>
      <c r="H55" s="102">
        <v>0.06</v>
      </c>
      <c r="I55" s="31"/>
    </row>
    <row r="56" spans="1:14" ht="15" customHeight="1" x14ac:dyDescent="0.2">
      <c r="A56" s="8" t="s">
        <v>3</v>
      </c>
      <c r="B56" s="190" t="s">
        <v>47</v>
      </c>
      <c r="C56" s="190"/>
      <c r="D56" s="190"/>
      <c r="E56" s="190"/>
      <c r="F56" s="190"/>
      <c r="G56" s="190"/>
      <c r="H56" s="121">
        <v>30</v>
      </c>
      <c r="I56" s="105">
        <f>ROUND((H56*15)*0.8,2)</f>
        <v>360</v>
      </c>
    </row>
    <row r="57" spans="1:14" ht="17.25" customHeight="1" x14ac:dyDescent="0.2">
      <c r="A57" s="8" t="s">
        <v>5</v>
      </c>
      <c r="B57" s="190" t="s">
        <v>48</v>
      </c>
      <c r="C57" s="190"/>
      <c r="D57" s="190"/>
      <c r="E57" s="190"/>
      <c r="F57" s="190"/>
      <c r="G57" s="190"/>
      <c r="H57" s="12"/>
      <c r="I57" s="105">
        <v>0</v>
      </c>
    </row>
    <row r="58" spans="1:14" ht="28.5" customHeight="1" x14ac:dyDescent="0.2">
      <c r="A58" s="8" t="s">
        <v>7</v>
      </c>
      <c r="B58" s="190" t="s">
        <v>83</v>
      </c>
      <c r="C58" s="190"/>
      <c r="D58" s="190"/>
      <c r="E58" s="190"/>
      <c r="F58" s="190"/>
      <c r="G58" s="190"/>
      <c r="H58" s="12"/>
      <c r="I58" s="106">
        <v>18</v>
      </c>
    </row>
    <row r="59" spans="1:14" ht="22.5" customHeight="1" x14ac:dyDescent="0.2">
      <c r="A59" s="8" t="s">
        <v>21</v>
      </c>
      <c r="B59" s="190" t="s">
        <v>155</v>
      </c>
      <c r="C59" s="190"/>
      <c r="D59" s="190"/>
      <c r="E59" s="190"/>
      <c r="F59" s="190"/>
      <c r="G59" s="190"/>
      <c r="H59" s="12"/>
      <c r="I59" s="106">
        <v>16.52</v>
      </c>
    </row>
    <row r="60" spans="1:14" ht="22.5" customHeight="1" x14ac:dyDescent="0.2">
      <c r="A60" s="8" t="s">
        <v>23</v>
      </c>
      <c r="B60" s="190" t="s">
        <v>84</v>
      </c>
      <c r="C60" s="190"/>
      <c r="D60" s="190"/>
      <c r="E60" s="190"/>
      <c r="F60" s="190"/>
      <c r="G60" s="190"/>
      <c r="H60" s="12"/>
      <c r="I60" s="106">
        <v>0</v>
      </c>
    </row>
    <row r="61" spans="1:14" ht="19.5" customHeight="1" x14ac:dyDescent="0.2">
      <c r="A61" s="13"/>
      <c r="B61" s="257" t="s">
        <v>30</v>
      </c>
      <c r="C61" s="258"/>
      <c r="D61" s="258"/>
      <c r="E61" s="258"/>
      <c r="F61" s="258"/>
      <c r="G61" s="258"/>
      <c r="H61" s="259"/>
      <c r="I61" s="33">
        <f>SUM(I52:I60)</f>
        <v>380.55</v>
      </c>
    </row>
    <row r="62" spans="1:14" ht="30.75" customHeight="1" x14ac:dyDescent="0.2">
      <c r="A62" s="243" t="s">
        <v>49</v>
      </c>
      <c r="B62" s="244"/>
      <c r="C62" s="244"/>
      <c r="D62" s="244"/>
      <c r="E62" s="244"/>
      <c r="F62" s="244"/>
      <c r="G62" s="244"/>
      <c r="H62" s="244"/>
      <c r="I62" s="245"/>
    </row>
    <row r="63" spans="1:14" ht="20.25" customHeight="1" x14ac:dyDescent="0.2">
      <c r="A63" s="95">
        <v>2</v>
      </c>
      <c r="B63" s="260" t="s">
        <v>50</v>
      </c>
      <c r="C63" s="261"/>
      <c r="D63" s="261"/>
      <c r="E63" s="261"/>
      <c r="F63" s="261"/>
      <c r="G63" s="261"/>
      <c r="H63" s="262"/>
      <c r="I63" s="96" t="s">
        <v>19</v>
      </c>
    </row>
    <row r="64" spans="1:14" ht="12.75" customHeight="1" x14ac:dyDescent="0.2">
      <c r="A64" s="8" t="s">
        <v>28</v>
      </c>
      <c r="B64" s="181" t="s">
        <v>29</v>
      </c>
      <c r="C64" s="182"/>
      <c r="D64" s="182"/>
      <c r="E64" s="182"/>
      <c r="F64" s="182"/>
      <c r="G64" s="182"/>
      <c r="H64" s="183"/>
      <c r="I64" s="31">
        <f>I35</f>
        <v>1012.46</v>
      </c>
    </row>
    <row r="65" spans="1:9" ht="12.75" customHeight="1" x14ac:dyDescent="0.2">
      <c r="A65" s="8" t="s">
        <v>31</v>
      </c>
      <c r="B65" s="181" t="s">
        <v>32</v>
      </c>
      <c r="C65" s="182"/>
      <c r="D65" s="182"/>
      <c r="E65" s="182"/>
      <c r="F65" s="182"/>
      <c r="G65" s="182"/>
      <c r="H65" s="183"/>
      <c r="I65" s="31">
        <f>I49</f>
        <v>2196</v>
      </c>
    </row>
    <row r="66" spans="1:9" ht="12.75" customHeight="1" x14ac:dyDescent="0.2">
      <c r="A66" s="8" t="s">
        <v>41</v>
      </c>
      <c r="B66" s="181" t="s">
        <v>42</v>
      </c>
      <c r="C66" s="182"/>
      <c r="D66" s="182"/>
      <c r="E66" s="182"/>
      <c r="F66" s="182"/>
      <c r="G66" s="182"/>
      <c r="H66" s="183"/>
      <c r="I66" s="31">
        <f>I61</f>
        <v>380.55</v>
      </c>
    </row>
    <row r="67" spans="1:9" ht="14.25" x14ac:dyDescent="0.2">
      <c r="A67" s="257" t="s">
        <v>26</v>
      </c>
      <c r="B67" s="258"/>
      <c r="C67" s="258"/>
      <c r="D67" s="258"/>
      <c r="E67" s="258"/>
      <c r="F67" s="258"/>
      <c r="G67" s="258"/>
      <c r="H67" s="259"/>
      <c r="I67" s="33">
        <f>SUM(I64:I66)</f>
        <v>3589.01</v>
      </c>
    </row>
    <row r="68" spans="1:9" ht="14.25" x14ac:dyDescent="0.2">
      <c r="A68" s="202"/>
      <c r="B68" s="203"/>
      <c r="C68" s="203"/>
      <c r="D68" s="203"/>
      <c r="E68" s="203"/>
      <c r="F68" s="203"/>
      <c r="G68" s="203"/>
      <c r="H68" s="203"/>
      <c r="I68" s="204"/>
    </row>
    <row r="69" spans="1:9" ht="26.25" customHeight="1" x14ac:dyDescent="0.2">
      <c r="A69" s="243" t="s">
        <v>51</v>
      </c>
      <c r="B69" s="244"/>
      <c r="C69" s="244"/>
      <c r="D69" s="244"/>
      <c r="E69" s="244"/>
      <c r="F69" s="244"/>
      <c r="G69" s="244"/>
      <c r="H69" s="244"/>
      <c r="I69" s="245"/>
    </row>
    <row r="70" spans="1:9" ht="26.25" customHeight="1" x14ac:dyDescent="0.2">
      <c r="A70" s="86">
        <v>3</v>
      </c>
      <c r="B70" s="208" t="s">
        <v>97</v>
      </c>
      <c r="C70" s="209"/>
      <c r="D70" s="209"/>
      <c r="E70" s="209"/>
      <c r="F70" s="209"/>
      <c r="G70" s="210"/>
      <c r="H70" s="86" t="s">
        <v>96</v>
      </c>
      <c r="I70" s="87" t="s">
        <v>19</v>
      </c>
    </row>
    <row r="71" spans="1:9" ht="39" customHeight="1" x14ac:dyDescent="0.2">
      <c r="A71" s="8" t="s">
        <v>1</v>
      </c>
      <c r="B71" s="217" t="s">
        <v>91</v>
      </c>
      <c r="C71" s="217"/>
      <c r="D71" s="217"/>
      <c r="E71" s="217"/>
      <c r="F71" s="217"/>
      <c r="G71" s="217"/>
      <c r="H71" s="27">
        <f>((1/12)*0.7242)</f>
        <v>6.0400000000000002E-2</v>
      </c>
      <c r="I71" s="37">
        <f>H71*I38</f>
        <v>360.43</v>
      </c>
    </row>
    <row r="72" spans="1:9" ht="15" x14ac:dyDescent="0.2">
      <c r="A72" s="8" t="s">
        <v>3</v>
      </c>
      <c r="B72" s="266" t="s">
        <v>52</v>
      </c>
      <c r="C72" s="266"/>
      <c r="D72" s="266"/>
      <c r="E72" s="266"/>
      <c r="F72" s="266"/>
      <c r="G72" s="266"/>
      <c r="H72" s="5">
        <v>0.08</v>
      </c>
      <c r="I72" s="31">
        <f>I71*H72</f>
        <v>28.83</v>
      </c>
    </row>
    <row r="73" spans="1:9" ht="12.75" customHeight="1" x14ac:dyDescent="0.2">
      <c r="A73" s="14" t="s">
        <v>5</v>
      </c>
      <c r="B73" s="217" t="s">
        <v>164</v>
      </c>
      <c r="C73" s="217"/>
      <c r="D73" s="217"/>
      <c r="E73" s="217"/>
      <c r="F73" s="217"/>
      <c r="G73" s="217"/>
      <c r="H73" s="27">
        <v>0.04</v>
      </c>
      <c r="I73" s="38">
        <f>H73*I38</f>
        <v>238.7</v>
      </c>
    </row>
    <row r="74" spans="1:9" ht="17.25" customHeight="1" x14ac:dyDescent="0.2">
      <c r="A74" s="14" t="s">
        <v>7</v>
      </c>
      <c r="B74" s="217" t="s">
        <v>92</v>
      </c>
      <c r="C74" s="217"/>
      <c r="D74" s="217"/>
      <c r="E74" s="217"/>
      <c r="F74" s="217"/>
      <c r="G74" s="217"/>
      <c r="H74" s="27">
        <f>(((7/30)/12)*1)</f>
        <v>1.9400000000000001E-2</v>
      </c>
      <c r="I74" s="38">
        <f>H74*I38</f>
        <v>115.77</v>
      </c>
    </row>
    <row r="75" spans="1:9" ht="15" x14ac:dyDescent="0.2">
      <c r="A75" s="8" t="s">
        <v>21</v>
      </c>
      <c r="B75" s="266" t="s">
        <v>54</v>
      </c>
      <c r="C75" s="266"/>
      <c r="D75" s="266"/>
      <c r="E75" s="266"/>
      <c r="F75" s="266"/>
      <c r="G75" s="266"/>
      <c r="H75" s="5">
        <f>H49</f>
        <v>0.36799999999999999</v>
      </c>
      <c r="I75" s="31">
        <f>I74*H75</f>
        <v>42.6</v>
      </c>
    </row>
    <row r="76" spans="1:9" ht="12.75" customHeight="1" x14ac:dyDescent="0.2">
      <c r="A76" s="14" t="s">
        <v>23</v>
      </c>
      <c r="B76" s="217" t="s">
        <v>55</v>
      </c>
      <c r="C76" s="217"/>
      <c r="D76" s="217"/>
      <c r="E76" s="217"/>
      <c r="F76" s="217"/>
      <c r="G76" s="217"/>
      <c r="H76" s="27">
        <v>0.04</v>
      </c>
      <c r="I76" s="38">
        <f>H76*I38</f>
        <v>238.7</v>
      </c>
    </row>
    <row r="77" spans="1:9" ht="14.25" x14ac:dyDescent="0.2">
      <c r="A77" s="257" t="s">
        <v>26</v>
      </c>
      <c r="B77" s="258"/>
      <c r="C77" s="258"/>
      <c r="D77" s="258"/>
      <c r="E77" s="258"/>
      <c r="F77" s="258"/>
      <c r="G77" s="258"/>
      <c r="H77" s="259"/>
      <c r="I77" s="33">
        <f>SUM(I71:I76)</f>
        <v>1025.03</v>
      </c>
    </row>
    <row r="78" spans="1:9" ht="14.25" x14ac:dyDescent="0.2">
      <c r="A78" s="270" t="s">
        <v>118</v>
      </c>
      <c r="B78" s="270"/>
      <c r="C78" s="270"/>
      <c r="D78" s="270"/>
      <c r="E78" s="270"/>
      <c r="F78" s="270"/>
      <c r="G78" s="270"/>
      <c r="H78" s="64" t="s">
        <v>114</v>
      </c>
      <c r="I78" s="58">
        <f>I29</f>
        <v>4954.99</v>
      </c>
    </row>
    <row r="79" spans="1:9" ht="14.25" x14ac:dyDescent="0.2">
      <c r="A79" s="270"/>
      <c r="B79" s="270"/>
      <c r="C79" s="270"/>
      <c r="D79" s="270"/>
      <c r="E79" s="270"/>
      <c r="F79" s="270"/>
      <c r="G79" s="270"/>
      <c r="H79" s="64" t="s">
        <v>119</v>
      </c>
      <c r="I79" s="58">
        <f>I67</f>
        <v>3589.01</v>
      </c>
    </row>
    <row r="80" spans="1:9" ht="14.25" x14ac:dyDescent="0.2">
      <c r="A80" s="270"/>
      <c r="B80" s="270"/>
      <c r="C80" s="270"/>
      <c r="D80" s="270"/>
      <c r="E80" s="270"/>
      <c r="F80" s="270"/>
      <c r="G80" s="270"/>
      <c r="H80" s="64" t="s">
        <v>120</v>
      </c>
      <c r="I80" s="58">
        <f>I77</f>
        <v>1025.03</v>
      </c>
    </row>
    <row r="81" spans="1:9" ht="14.25" x14ac:dyDescent="0.2">
      <c r="A81" s="270"/>
      <c r="B81" s="270"/>
      <c r="C81" s="270"/>
      <c r="D81" s="270"/>
      <c r="E81" s="270"/>
      <c r="F81" s="270"/>
      <c r="G81" s="270"/>
      <c r="H81" s="59" t="s">
        <v>26</v>
      </c>
      <c r="I81" s="60">
        <f>SUM(I78:I80)</f>
        <v>9569.0300000000007</v>
      </c>
    </row>
    <row r="82" spans="1:9" ht="26.25" customHeight="1" x14ac:dyDescent="0.2">
      <c r="A82" s="205" t="s">
        <v>56</v>
      </c>
      <c r="B82" s="206"/>
      <c r="C82" s="206"/>
      <c r="D82" s="206"/>
      <c r="E82" s="206"/>
      <c r="F82" s="206"/>
      <c r="G82" s="206"/>
      <c r="H82" s="206"/>
      <c r="I82" s="207"/>
    </row>
    <row r="83" spans="1:9" ht="14.25" x14ac:dyDescent="0.2">
      <c r="A83" s="97" t="s">
        <v>57</v>
      </c>
      <c r="B83" s="271" t="s">
        <v>58</v>
      </c>
      <c r="C83" s="271"/>
      <c r="D83" s="271"/>
      <c r="E83" s="271"/>
      <c r="F83" s="271"/>
      <c r="G83" s="271"/>
      <c r="H83" s="86" t="s">
        <v>96</v>
      </c>
      <c r="I83" s="98" t="s">
        <v>19</v>
      </c>
    </row>
    <row r="84" spans="1:9" ht="24.75" customHeight="1" x14ac:dyDescent="0.2">
      <c r="A84" s="8" t="s">
        <v>1</v>
      </c>
      <c r="B84" s="217" t="s">
        <v>176</v>
      </c>
      <c r="C84" s="217"/>
      <c r="D84" s="217"/>
      <c r="E84" s="217"/>
      <c r="F84" s="217"/>
      <c r="G84" s="217"/>
      <c r="H84" s="27">
        <f>H35/12</f>
        <v>1.7000000000000001E-2</v>
      </c>
      <c r="I84" s="31">
        <f>H84*I81</f>
        <v>162.66999999999999</v>
      </c>
    </row>
    <row r="85" spans="1:9" ht="15" x14ac:dyDescent="0.2">
      <c r="A85" s="8" t="s">
        <v>3</v>
      </c>
      <c r="B85" s="266" t="s">
        <v>177</v>
      </c>
      <c r="C85" s="266"/>
      <c r="D85" s="266"/>
      <c r="E85" s="266"/>
      <c r="F85" s="266"/>
      <c r="G85" s="266"/>
      <c r="H85" s="5">
        <v>5.5999999999999999E-3</v>
      </c>
      <c r="I85" s="38">
        <f>H85*I81</f>
        <v>53.59</v>
      </c>
    </row>
    <row r="86" spans="1:9" ht="15" x14ac:dyDescent="0.2">
      <c r="A86" s="8" t="s">
        <v>5</v>
      </c>
      <c r="B86" s="266" t="s">
        <v>173</v>
      </c>
      <c r="C86" s="266"/>
      <c r="D86" s="266"/>
      <c r="E86" s="266"/>
      <c r="F86" s="266"/>
      <c r="G86" s="266"/>
      <c r="H86" s="61">
        <f>((5/30/12)*0.02)</f>
        <v>2.7999999999999998E-4</v>
      </c>
      <c r="I86" s="38">
        <f>TRUNC(H86*I81,2)</f>
        <v>2.67</v>
      </c>
    </row>
    <row r="87" spans="1:9" ht="15" x14ac:dyDescent="0.2">
      <c r="A87" s="8" t="s">
        <v>7</v>
      </c>
      <c r="B87" s="266" t="s">
        <v>174</v>
      </c>
      <c r="C87" s="266"/>
      <c r="D87" s="266"/>
      <c r="E87" s="266"/>
      <c r="F87" s="266"/>
      <c r="G87" s="266"/>
      <c r="H87" s="5">
        <f>((15/30)/12)*0.08</f>
        <v>3.3E-3</v>
      </c>
      <c r="I87" s="38">
        <f>TRUNC(H87*I81,2)</f>
        <v>31.57</v>
      </c>
    </row>
    <row r="88" spans="1:9" ht="15" x14ac:dyDescent="0.2">
      <c r="A88" s="8" t="s">
        <v>21</v>
      </c>
      <c r="B88" s="266" t="s">
        <v>178</v>
      </c>
      <c r="C88" s="266"/>
      <c r="D88" s="266"/>
      <c r="E88" s="266"/>
      <c r="F88" s="266"/>
      <c r="G88" s="266"/>
      <c r="H88" s="5">
        <f>0.121*0.03*((4/12))</f>
        <v>1.1999999999999999E-3</v>
      </c>
      <c r="I88" s="31">
        <f>TRUNC(H88*I81,2)</f>
        <v>11.48</v>
      </c>
    </row>
    <row r="89" spans="1:9" ht="15" x14ac:dyDescent="0.25">
      <c r="A89" s="4" t="s">
        <v>23</v>
      </c>
      <c r="B89" s="266" t="s">
        <v>25</v>
      </c>
      <c r="C89" s="266"/>
      <c r="D89" s="266"/>
      <c r="E89" s="266"/>
      <c r="F89" s="266"/>
      <c r="G89" s="266"/>
      <c r="H89" s="5"/>
      <c r="I89" s="31"/>
    </row>
    <row r="90" spans="1:9" ht="14.25" x14ac:dyDescent="0.2">
      <c r="A90" s="257" t="s">
        <v>30</v>
      </c>
      <c r="B90" s="258"/>
      <c r="C90" s="258"/>
      <c r="D90" s="258"/>
      <c r="E90" s="258"/>
      <c r="F90" s="258"/>
      <c r="G90" s="258"/>
      <c r="H90" s="259"/>
      <c r="I90" s="33">
        <f>SUM(I84:I88)</f>
        <v>261.98</v>
      </c>
    </row>
    <row r="91" spans="1:9" ht="14.25" x14ac:dyDescent="0.2">
      <c r="A91" s="97" t="s">
        <v>59</v>
      </c>
      <c r="B91" s="267" t="s">
        <v>60</v>
      </c>
      <c r="C91" s="268"/>
      <c r="D91" s="268"/>
      <c r="E91" s="268"/>
      <c r="F91" s="268"/>
      <c r="G91" s="268"/>
      <c r="H91" s="269"/>
      <c r="I91" s="98" t="s">
        <v>19</v>
      </c>
    </row>
    <row r="92" spans="1:9" ht="12.75" customHeight="1" x14ac:dyDescent="0.2">
      <c r="A92" s="8" t="s">
        <v>1</v>
      </c>
      <c r="B92" s="190" t="s">
        <v>61</v>
      </c>
      <c r="C92" s="190"/>
      <c r="D92" s="190"/>
      <c r="E92" s="190"/>
      <c r="F92" s="190"/>
      <c r="G92" s="190"/>
      <c r="H92" s="39"/>
      <c r="I92" s="40">
        <f>(I81/220*15)</f>
        <v>652.42999999999995</v>
      </c>
    </row>
    <row r="93" spans="1:9" ht="14.25" x14ac:dyDescent="0.2">
      <c r="A93" s="257" t="s">
        <v>30</v>
      </c>
      <c r="B93" s="258"/>
      <c r="C93" s="258"/>
      <c r="D93" s="258"/>
      <c r="E93" s="258"/>
      <c r="F93" s="258"/>
      <c r="G93" s="258"/>
      <c r="H93" s="259"/>
      <c r="I93" s="28">
        <f>SUM(I92:I92)</f>
        <v>652.42999999999995</v>
      </c>
    </row>
    <row r="94" spans="1:9" ht="21.75" customHeight="1" x14ac:dyDescent="0.2">
      <c r="A94" s="243" t="s">
        <v>62</v>
      </c>
      <c r="B94" s="244"/>
      <c r="C94" s="244"/>
      <c r="D94" s="244"/>
      <c r="E94" s="244"/>
      <c r="F94" s="244"/>
      <c r="G94" s="244"/>
      <c r="H94" s="244"/>
      <c r="I94" s="245"/>
    </row>
    <row r="95" spans="1:9" ht="12.75" customHeight="1" x14ac:dyDescent="0.2">
      <c r="A95" s="88">
        <v>4</v>
      </c>
      <c r="B95" s="208" t="s">
        <v>63</v>
      </c>
      <c r="C95" s="209"/>
      <c r="D95" s="209"/>
      <c r="E95" s="209"/>
      <c r="F95" s="209"/>
      <c r="G95" s="209"/>
      <c r="H95" s="210"/>
      <c r="I95" s="90" t="s">
        <v>19</v>
      </c>
    </row>
    <row r="96" spans="1:9" ht="12.75" customHeight="1" x14ac:dyDescent="0.2">
      <c r="A96" s="8" t="s">
        <v>57</v>
      </c>
      <c r="B96" s="190" t="s">
        <v>58</v>
      </c>
      <c r="C96" s="190"/>
      <c r="D96" s="190"/>
      <c r="E96" s="190"/>
      <c r="F96" s="190"/>
      <c r="G96" s="190"/>
      <c r="H96" s="15"/>
      <c r="I96" s="31">
        <f>I90</f>
        <v>261.98</v>
      </c>
    </row>
    <row r="97" spans="1:9" ht="12.75" customHeight="1" x14ac:dyDescent="0.2">
      <c r="A97" s="8" t="s">
        <v>59</v>
      </c>
      <c r="B97" s="190" t="s">
        <v>60</v>
      </c>
      <c r="C97" s="190"/>
      <c r="D97" s="190"/>
      <c r="E97" s="190"/>
      <c r="F97" s="190"/>
      <c r="G97" s="190"/>
      <c r="H97" s="15"/>
      <c r="I97" s="31">
        <f>I93</f>
        <v>652.42999999999995</v>
      </c>
    </row>
    <row r="98" spans="1:9" ht="14.25" x14ac:dyDescent="0.2">
      <c r="A98" s="257" t="s">
        <v>26</v>
      </c>
      <c r="B98" s="258"/>
      <c r="C98" s="258"/>
      <c r="D98" s="258"/>
      <c r="E98" s="258"/>
      <c r="F98" s="258"/>
      <c r="G98" s="258"/>
      <c r="H98" s="259"/>
      <c r="I98" s="33">
        <f>SUM(I96:I97)</f>
        <v>914.41</v>
      </c>
    </row>
    <row r="99" spans="1:9" ht="14.25" x14ac:dyDescent="0.2">
      <c r="A99" s="202"/>
      <c r="B99" s="203"/>
      <c r="C99" s="203"/>
      <c r="D99" s="203"/>
      <c r="E99" s="203"/>
      <c r="F99" s="203"/>
      <c r="G99" s="203"/>
      <c r="H99" s="203"/>
      <c r="I99" s="204"/>
    </row>
    <row r="100" spans="1:9" ht="18.75" customHeight="1" x14ac:dyDescent="0.2">
      <c r="A100" s="205" t="s">
        <v>64</v>
      </c>
      <c r="B100" s="206"/>
      <c r="C100" s="206"/>
      <c r="D100" s="206"/>
      <c r="E100" s="206"/>
      <c r="F100" s="206"/>
      <c r="G100" s="206"/>
      <c r="H100" s="206"/>
      <c r="I100" s="207"/>
    </row>
    <row r="101" spans="1:9" ht="12.75" customHeight="1" x14ac:dyDescent="0.2">
      <c r="A101" s="88">
        <v>5</v>
      </c>
      <c r="B101" s="208" t="s">
        <v>65</v>
      </c>
      <c r="C101" s="209"/>
      <c r="D101" s="209"/>
      <c r="E101" s="209"/>
      <c r="F101" s="209"/>
      <c r="G101" s="209"/>
      <c r="H101" s="210"/>
      <c r="I101" s="90" t="s">
        <v>19</v>
      </c>
    </row>
    <row r="102" spans="1:9" ht="15" customHeight="1" x14ac:dyDescent="0.2">
      <c r="A102" s="8" t="s">
        <v>1</v>
      </c>
      <c r="B102" s="181" t="s">
        <v>66</v>
      </c>
      <c r="C102" s="182"/>
      <c r="D102" s="182"/>
      <c r="E102" s="182"/>
      <c r="F102" s="182"/>
      <c r="G102" s="182"/>
      <c r="H102" s="183"/>
      <c r="I102" s="31">
        <v>86.76</v>
      </c>
    </row>
    <row r="103" spans="1:9" ht="15" x14ac:dyDescent="0.2">
      <c r="A103" s="8" t="s">
        <v>3</v>
      </c>
      <c r="B103" s="254" t="s">
        <v>67</v>
      </c>
      <c r="C103" s="255"/>
      <c r="D103" s="255"/>
      <c r="E103" s="255"/>
      <c r="F103" s="255"/>
      <c r="G103" s="255"/>
      <c r="H103" s="256"/>
      <c r="I103" s="112">
        <v>55.63</v>
      </c>
    </row>
    <row r="104" spans="1:9" ht="14.25" x14ac:dyDescent="0.2">
      <c r="A104" s="257" t="s">
        <v>26</v>
      </c>
      <c r="B104" s="258"/>
      <c r="C104" s="258"/>
      <c r="D104" s="258"/>
      <c r="E104" s="258"/>
      <c r="F104" s="258"/>
      <c r="G104" s="258"/>
      <c r="H104" s="259"/>
      <c r="I104" s="41">
        <f>ROUND(SUM(I102:I103),2)</f>
        <v>142.38999999999999</v>
      </c>
    </row>
    <row r="105" spans="1:9" ht="14.25" customHeight="1" x14ac:dyDescent="0.2">
      <c r="A105" s="272" t="s">
        <v>121</v>
      </c>
      <c r="B105" s="273"/>
      <c r="C105" s="273"/>
      <c r="D105" s="273"/>
      <c r="E105" s="273"/>
      <c r="F105" s="273"/>
      <c r="G105" s="274"/>
      <c r="H105" s="64" t="s">
        <v>114</v>
      </c>
      <c r="I105" s="62">
        <f>I29</f>
        <v>4954.99</v>
      </c>
    </row>
    <row r="106" spans="1:9" ht="14.25" x14ac:dyDescent="0.2">
      <c r="A106" s="275"/>
      <c r="B106" s="276"/>
      <c r="C106" s="276"/>
      <c r="D106" s="276"/>
      <c r="E106" s="276"/>
      <c r="F106" s="276"/>
      <c r="G106" s="277"/>
      <c r="H106" s="64" t="s">
        <v>119</v>
      </c>
      <c r="I106" s="62">
        <f>I67</f>
        <v>3589.01</v>
      </c>
    </row>
    <row r="107" spans="1:9" ht="14.25" x14ac:dyDescent="0.2">
      <c r="A107" s="275"/>
      <c r="B107" s="276"/>
      <c r="C107" s="276"/>
      <c r="D107" s="276"/>
      <c r="E107" s="276"/>
      <c r="F107" s="276"/>
      <c r="G107" s="277"/>
      <c r="H107" s="64" t="s">
        <v>120</v>
      </c>
      <c r="I107" s="62">
        <f>I77</f>
        <v>1025.03</v>
      </c>
    </row>
    <row r="108" spans="1:9" ht="14.25" x14ac:dyDescent="0.2">
      <c r="A108" s="275"/>
      <c r="B108" s="276"/>
      <c r="C108" s="276"/>
      <c r="D108" s="276"/>
      <c r="E108" s="276"/>
      <c r="F108" s="276"/>
      <c r="G108" s="277"/>
      <c r="H108" s="64" t="s">
        <v>122</v>
      </c>
      <c r="I108" s="62">
        <f>I98</f>
        <v>914.41</v>
      </c>
    </row>
    <row r="109" spans="1:9" ht="14.25" x14ac:dyDescent="0.2">
      <c r="A109" s="275"/>
      <c r="B109" s="276"/>
      <c r="C109" s="276"/>
      <c r="D109" s="276"/>
      <c r="E109" s="276"/>
      <c r="F109" s="276"/>
      <c r="G109" s="277"/>
      <c r="H109" s="64" t="s">
        <v>123</v>
      </c>
      <c r="I109" s="60">
        <f>I104</f>
        <v>142.38999999999999</v>
      </c>
    </row>
    <row r="110" spans="1:9" ht="14.25" x14ac:dyDescent="0.2">
      <c r="A110" s="278"/>
      <c r="B110" s="279"/>
      <c r="C110" s="279"/>
      <c r="D110" s="279"/>
      <c r="E110" s="279"/>
      <c r="F110" s="279"/>
      <c r="G110" s="280"/>
      <c r="H110" s="64" t="s">
        <v>26</v>
      </c>
      <c r="I110" s="63">
        <f>SUM(I105:I109)</f>
        <v>10625.83</v>
      </c>
    </row>
    <row r="111" spans="1:9" ht="24" customHeight="1" x14ac:dyDescent="0.2">
      <c r="A111" s="281" t="s">
        <v>68</v>
      </c>
      <c r="B111" s="281"/>
      <c r="C111" s="281"/>
      <c r="D111" s="281"/>
      <c r="E111" s="281"/>
      <c r="F111" s="281"/>
      <c r="G111" s="281"/>
      <c r="H111" s="281"/>
      <c r="I111" s="281"/>
    </row>
    <row r="112" spans="1:9" ht="28.5" x14ac:dyDescent="0.2">
      <c r="A112" s="88">
        <v>6</v>
      </c>
      <c r="B112" s="267" t="s">
        <v>69</v>
      </c>
      <c r="C112" s="268"/>
      <c r="D112" s="268"/>
      <c r="E112" s="268"/>
      <c r="F112" s="268"/>
      <c r="G112" s="269"/>
      <c r="H112" s="89" t="s">
        <v>18</v>
      </c>
      <c r="I112" s="90" t="s">
        <v>19</v>
      </c>
    </row>
    <row r="113" spans="1:9" ht="15" x14ac:dyDescent="0.2">
      <c r="A113" s="8" t="s">
        <v>1</v>
      </c>
      <c r="B113" s="254" t="s">
        <v>70</v>
      </c>
      <c r="C113" s="255"/>
      <c r="D113" s="255"/>
      <c r="E113" s="255"/>
      <c r="F113" s="255"/>
      <c r="G113" s="256"/>
      <c r="H113" s="85">
        <v>0.05</v>
      </c>
      <c r="I113" s="31">
        <f>SUM(H113*I130)</f>
        <v>531.29</v>
      </c>
    </row>
    <row r="114" spans="1:9" ht="15" x14ac:dyDescent="0.2">
      <c r="A114" s="8" t="s">
        <v>3</v>
      </c>
      <c r="B114" s="254" t="s">
        <v>71</v>
      </c>
      <c r="C114" s="255"/>
      <c r="D114" s="255"/>
      <c r="E114" s="255"/>
      <c r="F114" s="255"/>
      <c r="G114" s="256"/>
      <c r="H114" s="85">
        <v>0.05</v>
      </c>
      <c r="I114" s="31">
        <f>H114*(I130+I113)</f>
        <v>557.86</v>
      </c>
    </row>
    <row r="115" spans="1:9" ht="15" x14ac:dyDescent="0.2">
      <c r="A115" s="8" t="s">
        <v>5</v>
      </c>
      <c r="B115" s="254" t="s">
        <v>72</v>
      </c>
      <c r="C115" s="255"/>
      <c r="D115" s="255"/>
      <c r="E115" s="255"/>
      <c r="F115" s="255"/>
      <c r="G115" s="256"/>
      <c r="H115" s="26">
        <f>SUM(H117+H118+H119)</f>
        <v>0.13250000000000001</v>
      </c>
      <c r="I115" s="42">
        <f>SUM(I117:I119)</f>
        <v>1789.32</v>
      </c>
    </row>
    <row r="116" spans="1:9" ht="15" x14ac:dyDescent="0.2">
      <c r="A116" s="16"/>
      <c r="B116" s="254" t="s">
        <v>111</v>
      </c>
      <c r="C116" s="255"/>
      <c r="D116" s="255"/>
      <c r="E116" s="255"/>
      <c r="F116" s="255"/>
      <c r="G116" s="256"/>
      <c r="H116" s="5" t="s">
        <v>45</v>
      </c>
      <c r="I116" s="31" t="s">
        <v>45</v>
      </c>
    </row>
    <row r="117" spans="1:9" ht="12.75" customHeight="1" x14ac:dyDescent="0.2">
      <c r="A117" s="16"/>
      <c r="B117" s="181" t="s">
        <v>93</v>
      </c>
      <c r="C117" s="182"/>
      <c r="D117" s="182"/>
      <c r="E117" s="182"/>
      <c r="F117" s="182"/>
      <c r="G117" s="183"/>
      <c r="H117" s="84">
        <v>7.5999999999999998E-2</v>
      </c>
      <c r="I117" s="31">
        <f>SUM(H117*I132)</f>
        <v>1026.33</v>
      </c>
    </row>
    <row r="118" spans="1:9" ht="12.75" customHeight="1" x14ac:dyDescent="0.2">
      <c r="A118" s="16"/>
      <c r="B118" s="181" t="s">
        <v>94</v>
      </c>
      <c r="C118" s="182"/>
      <c r="D118" s="182"/>
      <c r="E118" s="182"/>
      <c r="F118" s="182"/>
      <c r="G118" s="183"/>
      <c r="H118" s="84">
        <v>1.6500000000000001E-2</v>
      </c>
      <c r="I118" s="31">
        <f>SUM(H118*I132)</f>
        <v>222.82</v>
      </c>
    </row>
    <row r="119" spans="1:9" ht="12.75" customHeight="1" x14ac:dyDescent="0.2">
      <c r="A119" s="16"/>
      <c r="B119" s="181" t="s">
        <v>95</v>
      </c>
      <c r="C119" s="182"/>
      <c r="D119" s="182"/>
      <c r="E119" s="182"/>
      <c r="F119" s="182"/>
      <c r="G119" s="183"/>
      <c r="H119" s="84">
        <v>0.04</v>
      </c>
      <c r="I119" s="31">
        <f>SUM(H119*I132)</f>
        <v>540.16999999999996</v>
      </c>
    </row>
    <row r="120" spans="1:9" ht="14.25" x14ac:dyDescent="0.2">
      <c r="A120" s="257" t="s">
        <v>26</v>
      </c>
      <c r="B120" s="258"/>
      <c r="C120" s="258"/>
      <c r="D120" s="258"/>
      <c r="E120" s="258"/>
      <c r="F120" s="258"/>
      <c r="G120" s="258"/>
      <c r="H120" s="68"/>
      <c r="I120" s="33">
        <f>SUM(I113+I114+I117+I118+I119)</f>
        <v>2878.47</v>
      </c>
    </row>
    <row r="121" spans="1:9" ht="14.25" x14ac:dyDescent="0.2">
      <c r="A121" s="282"/>
      <c r="B121" s="283"/>
      <c r="C121" s="283"/>
      <c r="D121" s="283"/>
      <c r="E121" s="283"/>
      <c r="F121" s="283"/>
      <c r="G121" s="283"/>
      <c r="H121" s="283"/>
      <c r="I121" s="284"/>
    </row>
    <row r="122" spans="1:9" ht="15" x14ac:dyDescent="0.2">
      <c r="A122" s="285"/>
      <c r="B122" s="286"/>
      <c r="C122" s="286"/>
      <c r="D122" s="286"/>
      <c r="E122" s="286"/>
      <c r="F122" s="286"/>
      <c r="G122" s="286"/>
      <c r="H122" s="286"/>
      <c r="I122" s="286"/>
    </row>
    <row r="123" spans="1:9" ht="19.5" customHeight="1" x14ac:dyDescent="0.2">
      <c r="A123" s="287" t="s">
        <v>98</v>
      </c>
      <c r="B123" s="288"/>
      <c r="C123" s="288"/>
      <c r="D123" s="288"/>
      <c r="E123" s="288"/>
      <c r="F123" s="288"/>
      <c r="G123" s="288"/>
      <c r="H123" s="288"/>
      <c r="I123" s="289"/>
    </row>
    <row r="124" spans="1:9" ht="12.75" customHeight="1" x14ac:dyDescent="0.2">
      <c r="A124" s="208" t="s">
        <v>73</v>
      </c>
      <c r="B124" s="209"/>
      <c r="C124" s="209"/>
      <c r="D124" s="209"/>
      <c r="E124" s="209"/>
      <c r="F124" s="209"/>
      <c r="G124" s="209"/>
      <c r="H124" s="210"/>
      <c r="I124" s="92" t="s">
        <v>19</v>
      </c>
    </row>
    <row r="125" spans="1:9" ht="12.75" customHeight="1" x14ac:dyDescent="0.2">
      <c r="A125" s="17" t="s">
        <v>1</v>
      </c>
      <c r="B125" s="181" t="s">
        <v>74</v>
      </c>
      <c r="C125" s="182"/>
      <c r="D125" s="182"/>
      <c r="E125" s="182"/>
      <c r="F125" s="182"/>
      <c r="G125" s="182"/>
      <c r="H125" s="183"/>
      <c r="I125" s="35">
        <f>I29</f>
        <v>4954.99</v>
      </c>
    </row>
    <row r="126" spans="1:9" ht="12.75" customHeight="1" x14ac:dyDescent="0.2">
      <c r="A126" s="17" t="s">
        <v>3</v>
      </c>
      <c r="B126" s="181" t="s">
        <v>50</v>
      </c>
      <c r="C126" s="182"/>
      <c r="D126" s="182"/>
      <c r="E126" s="182"/>
      <c r="F126" s="182"/>
      <c r="G126" s="182"/>
      <c r="H126" s="183"/>
      <c r="I126" s="35">
        <f>I67</f>
        <v>3589.01</v>
      </c>
    </row>
    <row r="127" spans="1:9" ht="12.75" customHeight="1" x14ac:dyDescent="0.2">
      <c r="A127" s="17" t="s">
        <v>5</v>
      </c>
      <c r="B127" s="181" t="s">
        <v>75</v>
      </c>
      <c r="C127" s="182"/>
      <c r="D127" s="182"/>
      <c r="E127" s="182"/>
      <c r="F127" s="182"/>
      <c r="G127" s="182"/>
      <c r="H127" s="183"/>
      <c r="I127" s="35">
        <f>I77</f>
        <v>1025.03</v>
      </c>
    </row>
    <row r="128" spans="1:9" ht="12.75" customHeight="1" x14ac:dyDescent="0.2">
      <c r="A128" s="17" t="s">
        <v>7</v>
      </c>
      <c r="B128" s="181" t="s">
        <v>63</v>
      </c>
      <c r="C128" s="182"/>
      <c r="D128" s="182"/>
      <c r="E128" s="182"/>
      <c r="F128" s="182"/>
      <c r="G128" s="182"/>
      <c r="H128" s="183"/>
      <c r="I128" s="35">
        <f>I98</f>
        <v>914.41</v>
      </c>
    </row>
    <row r="129" spans="1:9" ht="12.75" customHeight="1" x14ac:dyDescent="0.2">
      <c r="A129" s="17" t="s">
        <v>21</v>
      </c>
      <c r="B129" s="181" t="s">
        <v>76</v>
      </c>
      <c r="C129" s="182"/>
      <c r="D129" s="182"/>
      <c r="E129" s="182"/>
      <c r="F129" s="182"/>
      <c r="G129" s="182"/>
      <c r="H129" s="183"/>
      <c r="I129" s="35">
        <f>I104</f>
        <v>142.38999999999999</v>
      </c>
    </row>
    <row r="130" spans="1:9" ht="12.75" customHeight="1" x14ac:dyDescent="0.25">
      <c r="A130" s="306" t="s">
        <v>77</v>
      </c>
      <c r="B130" s="307"/>
      <c r="C130" s="307"/>
      <c r="D130" s="307"/>
      <c r="E130" s="307"/>
      <c r="F130" s="307"/>
      <c r="G130" s="307"/>
      <c r="H130" s="308"/>
      <c r="I130" s="47">
        <f>SUM(I125:I129)</f>
        <v>10625.83</v>
      </c>
    </row>
    <row r="131" spans="1:9" ht="12.75" customHeight="1" x14ac:dyDescent="0.2">
      <c r="A131" s="17" t="s">
        <v>23</v>
      </c>
      <c r="B131" s="181" t="s">
        <v>78</v>
      </c>
      <c r="C131" s="182"/>
      <c r="D131" s="182"/>
      <c r="E131" s="182"/>
      <c r="F131" s="182"/>
      <c r="G131" s="182"/>
      <c r="H131" s="183"/>
      <c r="I131" s="48">
        <f>I120</f>
        <v>2878.47</v>
      </c>
    </row>
    <row r="132" spans="1:9" ht="12.75" customHeight="1" x14ac:dyDescent="0.2">
      <c r="A132" s="309" t="s">
        <v>79</v>
      </c>
      <c r="B132" s="310"/>
      <c r="C132" s="310"/>
      <c r="D132" s="310"/>
      <c r="E132" s="310"/>
      <c r="F132" s="310"/>
      <c r="G132" s="310"/>
      <c r="H132" s="311"/>
      <c r="I132" s="49">
        <f>SUM(I130+I113+I114)/(1-H115)</f>
        <v>13504.3</v>
      </c>
    </row>
    <row r="133" spans="1:9" ht="12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9"/>
    </row>
    <row r="134" spans="1:9" ht="12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9"/>
    </row>
    <row r="135" spans="1:9" ht="15.75" customHeight="1" thickBot="1" x14ac:dyDescent="0.25">
      <c r="A135" s="312" t="s">
        <v>99</v>
      </c>
      <c r="B135" s="312"/>
      <c r="C135" s="312"/>
      <c r="D135" s="312"/>
      <c r="E135" s="312"/>
      <c r="F135" s="312"/>
      <c r="G135" s="312"/>
      <c r="H135" s="312"/>
      <c r="I135" s="312"/>
    </row>
    <row r="136" spans="1:9" ht="41.25" customHeight="1" thickBot="1" x14ac:dyDescent="0.25">
      <c r="A136" s="45" t="s">
        <v>100</v>
      </c>
      <c r="B136" s="65" t="s">
        <v>80</v>
      </c>
      <c r="C136" s="99" t="s">
        <v>101</v>
      </c>
      <c r="D136" s="313" t="s">
        <v>102</v>
      </c>
      <c r="E136" s="314"/>
      <c r="F136" s="315"/>
      <c r="G136" s="66" t="s">
        <v>81</v>
      </c>
      <c r="H136" s="316" t="s">
        <v>103</v>
      </c>
      <c r="I136" s="317"/>
    </row>
    <row r="137" spans="1:9" ht="86.25" customHeight="1" thickBot="1" x14ac:dyDescent="0.25">
      <c r="A137" s="46" t="s">
        <v>170</v>
      </c>
      <c r="B137" s="55">
        <f>I132</f>
        <v>13504.3</v>
      </c>
      <c r="C137" s="46">
        <v>4</v>
      </c>
      <c r="D137" s="293">
        <f>SUM(B137*C137)</f>
        <v>54017.2</v>
      </c>
      <c r="E137" s="294"/>
      <c r="F137" s="295"/>
      <c r="G137" s="67">
        <v>1</v>
      </c>
      <c r="H137" s="296">
        <f>SUM(D137*G137)</f>
        <v>54017.2</v>
      </c>
      <c r="I137" s="297"/>
    </row>
    <row r="138" spans="1:9" ht="15.75" thickBot="1" x14ac:dyDescent="0.3">
      <c r="A138" s="21"/>
      <c r="B138" s="22"/>
      <c r="C138" s="21"/>
      <c r="D138" s="22"/>
      <c r="E138" s="23"/>
      <c r="F138" s="24"/>
      <c r="G138" s="20"/>
      <c r="H138" s="20"/>
      <c r="I138" s="25"/>
    </row>
    <row r="139" spans="1:9" ht="15.75" customHeight="1" thickBot="1" x14ac:dyDescent="0.25">
      <c r="A139" s="298" t="s">
        <v>104</v>
      </c>
      <c r="B139" s="299"/>
      <c r="C139" s="299"/>
      <c r="D139" s="299"/>
      <c r="E139" s="299"/>
      <c r="F139" s="300"/>
      <c r="G139" s="50"/>
      <c r="H139" s="50"/>
      <c r="I139" s="50"/>
    </row>
    <row r="140" spans="1:9" ht="15.75" thickBot="1" x14ac:dyDescent="0.3">
      <c r="A140" s="43"/>
      <c r="B140" s="301" t="s">
        <v>105</v>
      </c>
      <c r="C140" s="302"/>
      <c r="D140" s="302"/>
      <c r="E140" s="303"/>
      <c r="F140" s="43" t="s">
        <v>106</v>
      </c>
      <c r="G140" s="20"/>
      <c r="H140" s="20"/>
      <c r="I140" s="25"/>
    </row>
    <row r="141" spans="1:9" ht="45.75" thickBot="1" x14ac:dyDescent="0.3">
      <c r="A141" s="44" t="s">
        <v>1</v>
      </c>
      <c r="B141" s="51" t="s">
        <v>107</v>
      </c>
      <c r="C141" s="52"/>
      <c r="D141" s="304" t="s">
        <v>108</v>
      </c>
      <c r="E141" s="305"/>
      <c r="F141" s="53">
        <f>H137</f>
        <v>54017.2</v>
      </c>
      <c r="G141" s="20"/>
      <c r="H141" s="20"/>
      <c r="I141" s="25"/>
    </row>
    <row r="142" spans="1:9" ht="26.25" customHeight="1" thickBot="1" x14ac:dyDescent="0.3">
      <c r="A142" s="44" t="s">
        <v>3</v>
      </c>
      <c r="B142" s="290" t="s">
        <v>109</v>
      </c>
      <c r="C142" s="291"/>
      <c r="D142" s="292"/>
      <c r="E142" s="54"/>
      <c r="F142" s="53">
        <f>H137</f>
        <v>54017.2</v>
      </c>
      <c r="G142" s="20"/>
      <c r="H142" s="20"/>
      <c r="I142" s="25"/>
    </row>
    <row r="143" spans="1:9" ht="69.75" customHeight="1" thickBot="1" x14ac:dyDescent="0.3">
      <c r="A143" s="44" t="s">
        <v>5</v>
      </c>
      <c r="B143" s="290" t="s">
        <v>166</v>
      </c>
      <c r="C143" s="291"/>
      <c r="D143" s="292"/>
      <c r="E143" s="54"/>
      <c r="F143" s="53">
        <f>F142*12</f>
        <v>648206.4</v>
      </c>
      <c r="G143" s="20"/>
      <c r="H143" s="20"/>
      <c r="I143" s="25"/>
    </row>
  </sheetData>
  <mergeCells count="141">
    <mergeCell ref="B143:D143"/>
    <mergeCell ref="D137:F137"/>
    <mergeCell ref="H137:I137"/>
    <mergeCell ref="A139:F139"/>
    <mergeCell ref="B140:E140"/>
    <mergeCell ref="D141:E141"/>
    <mergeCell ref="B142:D142"/>
    <mergeCell ref="A130:H130"/>
    <mergeCell ref="B131:H131"/>
    <mergeCell ref="A132:H132"/>
    <mergeCell ref="A135:I135"/>
    <mergeCell ref="D136:F136"/>
    <mergeCell ref="H136:I136"/>
    <mergeCell ref="A124:H124"/>
    <mergeCell ref="B125:H125"/>
    <mergeCell ref="B126:H126"/>
    <mergeCell ref="B127:H127"/>
    <mergeCell ref="B128:H128"/>
    <mergeCell ref="B129:H129"/>
    <mergeCell ref="B118:G118"/>
    <mergeCell ref="B119:G119"/>
    <mergeCell ref="A120:G120"/>
    <mergeCell ref="A121:I121"/>
    <mergeCell ref="A122:I122"/>
    <mergeCell ref="A123:I123"/>
    <mergeCell ref="B112:G112"/>
    <mergeCell ref="B113:G113"/>
    <mergeCell ref="B114:G114"/>
    <mergeCell ref="B115:G115"/>
    <mergeCell ref="B116:G116"/>
    <mergeCell ref="B117:G117"/>
    <mergeCell ref="B103:H103"/>
    <mergeCell ref="A104:H104"/>
    <mergeCell ref="A105:G110"/>
    <mergeCell ref="A111:I111"/>
    <mergeCell ref="B97:G97"/>
    <mergeCell ref="A98:H98"/>
    <mergeCell ref="A99:I99"/>
    <mergeCell ref="A100:I100"/>
    <mergeCell ref="B101:H101"/>
    <mergeCell ref="B102:H102"/>
    <mergeCell ref="B92:G92"/>
    <mergeCell ref="A93:H93"/>
    <mergeCell ref="A94:I94"/>
    <mergeCell ref="B95:H95"/>
    <mergeCell ref="B96:G96"/>
    <mergeCell ref="B86:G86"/>
    <mergeCell ref="B87:G87"/>
    <mergeCell ref="B88:G88"/>
    <mergeCell ref="B89:G89"/>
    <mergeCell ref="A90:H90"/>
    <mergeCell ref="B91:H91"/>
    <mergeCell ref="A77:H77"/>
    <mergeCell ref="A78:G81"/>
    <mergeCell ref="A82:I82"/>
    <mergeCell ref="B83:G83"/>
    <mergeCell ref="B84:G84"/>
    <mergeCell ref="B85:G85"/>
    <mergeCell ref="B71:G71"/>
    <mergeCell ref="B72:G72"/>
    <mergeCell ref="B73:G73"/>
    <mergeCell ref="B74:G74"/>
    <mergeCell ref="B75:G75"/>
    <mergeCell ref="B76:G76"/>
    <mergeCell ref="B65:H65"/>
    <mergeCell ref="B66:H66"/>
    <mergeCell ref="A67:H67"/>
    <mergeCell ref="A68:I68"/>
    <mergeCell ref="A69:I69"/>
    <mergeCell ref="B70:G70"/>
    <mergeCell ref="B59:G59"/>
    <mergeCell ref="B60:G60"/>
    <mergeCell ref="B61:H61"/>
    <mergeCell ref="A62:I62"/>
    <mergeCell ref="B63:H63"/>
    <mergeCell ref="B64:H64"/>
    <mergeCell ref="B53:G53"/>
    <mergeCell ref="B54:G54"/>
    <mergeCell ref="B55:G55"/>
    <mergeCell ref="B56:G56"/>
    <mergeCell ref="B57:G57"/>
    <mergeCell ref="B58:G58"/>
    <mergeCell ref="B47:G47"/>
    <mergeCell ref="B48:G48"/>
    <mergeCell ref="A49:G49"/>
    <mergeCell ref="A50:I50"/>
    <mergeCell ref="B51:H51"/>
    <mergeCell ref="B52:H52"/>
    <mergeCell ref="B41:G41"/>
    <mergeCell ref="B42:G42"/>
    <mergeCell ref="B43:G43"/>
    <mergeCell ref="B44:G44"/>
    <mergeCell ref="B45:G45"/>
    <mergeCell ref="B46:G46"/>
    <mergeCell ref="B33:G33"/>
    <mergeCell ref="B34:G34"/>
    <mergeCell ref="A35:G35"/>
    <mergeCell ref="A36:G38"/>
    <mergeCell ref="A39:I39"/>
    <mergeCell ref="B40:G40"/>
    <mergeCell ref="B28:G28"/>
    <mergeCell ref="A29:H29"/>
    <mergeCell ref="A30:I30"/>
    <mergeCell ref="A31:I31"/>
    <mergeCell ref="B32:G32"/>
    <mergeCell ref="B22:G22"/>
    <mergeCell ref="B23:H23"/>
    <mergeCell ref="B24:G24"/>
    <mergeCell ref="B25:G25"/>
    <mergeCell ref="B26:G26"/>
    <mergeCell ref="B27:G27"/>
    <mergeCell ref="B18:G18"/>
    <mergeCell ref="H18:I18"/>
    <mergeCell ref="B19:G19"/>
    <mergeCell ref="H19:I19"/>
    <mergeCell ref="A20:I20"/>
    <mergeCell ref="A21:I21"/>
    <mergeCell ref="B15:G15"/>
    <mergeCell ref="H15:I15"/>
    <mergeCell ref="B16:G16"/>
    <mergeCell ref="H16:I16"/>
    <mergeCell ref="B17:G17"/>
    <mergeCell ref="H17:I17"/>
    <mergeCell ref="B10:G10"/>
    <mergeCell ref="H10:I10"/>
    <mergeCell ref="A11:I11"/>
    <mergeCell ref="A12:I12"/>
    <mergeCell ref="A13:I13"/>
    <mergeCell ref="A14:I14"/>
    <mergeCell ref="B7:G7"/>
    <mergeCell ref="H7:I7"/>
    <mergeCell ref="B8:G8"/>
    <mergeCell ref="H8:I8"/>
    <mergeCell ref="B9:G9"/>
    <mergeCell ref="H9:I9"/>
    <mergeCell ref="A1:I1"/>
    <mergeCell ref="A2:I2"/>
    <mergeCell ref="A3:I3"/>
    <mergeCell ref="A4:I4"/>
    <mergeCell ref="A5:I5"/>
    <mergeCell ref="A6:I6"/>
  </mergeCells>
  <pageMargins left="0.511811024" right="0.511811024" top="0.78740157499999996" bottom="0.78740157499999996" header="0.31496062000000002" footer="0.31496062000000002"/>
  <pageSetup paperSize="9" scale="65" orientation="portrait" r:id="rId1"/>
  <rowBreaks count="2" manualBreakCount="2">
    <brk id="49" max="8" man="1"/>
    <brk id="110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3"/>
  <sheetViews>
    <sheetView topLeftCell="A99" zoomScaleNormal="100" zoomScaleSheetLayoutView="100" workbookViewId="0">
      <selection activeCell="H141" sqref="H141"/>
    </sheetView>
  </sheetViews>
  <sheetFormatPr defaultColWidth="12.28515625" defaultRowHeight="12.75" x14ac:dyDescent="0.2"/>
  <cols>
    <col min="1" max="1" width="13.7109375" customWidth="1"/>
    <col min="2" max="2" width="13.7109375" bestFit="1" customWidth="1"/>
    <col min="3" max="3" width="14" customWidth="1"/>
    <col min="4" max="4" width="14.7109375" customWidth="1"/>
    <col min="5" max="5" width="12.42578125" bestFit="1" customWidth="1"/>
    <col min="6" max="6" width="14.5703125" customWidth="1"/>
    <col min="8" max="8" width="14.5703125" customWidth="1"/>
    <col min="9" max="9" width="23.85546875" style="1" customWidth="1"/>
  </cols>
  <sheetData>
    <row r="1" spans="1:9" ht="61.5" customHeight="1" x14ac:dyDescent="0.2">
      <c r="A1" s="318" t="s">
        <v>124</v>
      </c>
      <c r="B1" s="189"/>
      <c r="C1" s="189"/>
      <c r="D1" s="189"/>
      <c r="E1" s="189"/>
      <c r="F1" s="189"/>
      <c r="G1" s="189"/>
      <c r="H1" s="189"/>
      <c r="I1" s="189"/>
    </row>
    <row r="2" spans="1:9" ht="12.75" customHeight="1" x14ac:dyDescent="0.2">
      <c r="A2" s="190" t="s">
        <v>185</v>
      </c>
      <c r="B2" s="190"/>
      <c r="C2" s="190"/>
      <c r="D2" s="190"/>
      <c r="E2" s="190"/>
      <c r="F2" s="190"/>
      <c r="G2" s="190"/>
      <c r="H2" s="190"/>
      <c r="I2" s="190"/>
    </row>
    <row r="3" spans="1:9" ht="12.75" customHeight="1" x14ac:dyDescent="0.2">
      <c r="A3" s="190" t="s">
        <v>193</v>
      </c>
      <c r="B3" s="190"/>
      <c r="C3" s="190"/>
      <c r="D3" s="190"/>
      <c r="E3" s="190"/>
      <c r="F3" s="190"/>
      <c r="G3" s="190"/>
      <c r="H3" s="190"/>
      <c r="I3" s="190"/>
    </row>
    <row r="4" spans="1:9" ht="12.75" customHeight="1" x14ac:dyDescent="0.2">
      <c r="A4" s="190" t="s">
        <v>194</v>
      </c>
      <c r="B4" s="191"/>
      <c r="C4" s="191"/>
      <c r="D4" s="191"/>
      <c r="E4" s="191"/>
      <c r="F4" s="191"/>
      <c r="G4" s="191"/>
      <c r="H4" s="191"/>
      <c r="I4" s="191"/>
    </row>
    <row r="5" spans="1:9" ht="12.75" customHeight="1" x14ac:dyDescent="0.2">
      <c r="A5" s="192"/>
      <c r="B5" s="192"/>
      <c r="C5" s="192"/>
      <c r="D5" s="192"/>
      <c r="E5" s="192"/>
      <c r="F5" s="192"/>
      <c r="G5" s="192"/>
      <c r="H5" s="192"/>
      <c r="I5" s="192"/>
    </row>
    <row r="6" spans="1:9" ht="21" customHeight="1" x14ac:dyDescent="0.2">
      <c r="A6" s="193" t="s">
        <v>0</v>
      </c>
      <c r="B6" s="194"/>
      <c r="C6" s="194"/>
      <c r="D6" s="194"/>
      <c r="E6" s="194"/>
      <c r="F6" s="194"/>
      <c r="G6" s="194"/>
      <c r="H6" s="194"/>
      <c r="I6" s="195"/>
    </row>
    <row r="7" spans="1:9" ht="12.75" customHeight="1" x14ac:dyDescent="0.2">
      <c r="A7" s="2" t="s">
        <v>1</v>
      </c>
      <c r="B7" s="176" t="s">
        <v>2</v>
      </c>
      <c r="C7" s="177"/>
      <c r="D7" s="177"/>
      <c r="E7" s="177"/>
      <c r="F7" s="177"/>
      <c r="G7" s="178"/>
      <c r="H7" s="179" t="s">
        <v>192</v>
      </c>
      <c r="I7" s="180"/>
    </row>
    <row r="8" spans="1:9" ht="12.75" customHeight="1" x14ac:dyDescent="0.2">
      <c r="A8" s="3" t="s">
        <v>3</v>
      </c>
      <c r="B8" s="181" t="s">
        <v>4</v>
      </c>
      <c r="C8" s="182"/>
      <c r="D8" s="182"/>
      <c r="E8" s="182"/>
      <c r="F8" s="182"/>
      <c r="G8" s="183"/>
      <c r="H8" s="184" t="str">
        <f>'12X36 DIURNO '!H8:I8</f>
        <v>RIO GRANDE RS</v>
      </c>
      <c r="I8" s="185"/>
    </row>
    <row r="9" spans="1:9" ht="12.75" customHeight="1" x14ac:dyDescent="0.2">
      <c r="A9" s="3" t="s">
        <v>5</v>
      </c>
      <c r="B9" s="181" t="s">
        <v>6</v>
      </c>
      <c r="C9" s="182"/>
      <c r="D9" s="182"/>
      <c r="E9" s="182"/>
      <c r="F9" s="182"/>
      <c r="G9" s="183"/>
      <c r="H9" s="186" t="str">
        <f>'12X36 DIURNO '!H9:I9</f>
        <v>RS000837/2025</v>
      </c>
      <c r="I9" s="187"/>
    </row>
    <row r="10" spans="1:9" ht="12.75" customHeight="1" x14ac:dyDescent="0.2">
      <c r="A10" s="3" t="s">
        <v>7</v>
      </c>
      <c r="B10" s="181" t="s">
        <v>8</v>
      </c>
      <c r="C10" s="182"/>
      <c r="D10" s="182"/>
      <c r="E10" s="182"/>
      <c r="F10" s="182"/>
      <c r="G10" s="183"/>
      <c r="H10" s="184">
        <v>12</v>
      </c>
      <c r="I10" s="185"/>
    </row>
    <row r="11" spans="1:9" ht="12.75" customHeight="1" x14ac:dyDescent="0.2">
      <c r="A11" s="181" t="s">
        <v>9</v>
      </c>
      <c r="B11" s="182"/>
      <c r="C11" s="182"/>
      <c r="D11" s="182"/>
      <c r="E11" s="182"/>
      <c r="F11" s="182"/>
      <c r="G11" s="182"/>
      <c r="H11" s="182"/>
      <c r="I11" s="183"/>
    </row>
    <row r="12" spans="1:9" ht="14.25" x14ac:dyDescent="0.2">
      <c r="A12" s="202"/>
      <c r="B12" s="203"/>
      <c r="C12" s="203"/>
      <c r="D12" s="203"/>
      <c r="E12" s="203"/>
      <c r="F12" s="203"/>
      <c r="G12" s="203"/>
      <c r="H12" s="203"/>
      <c r="I12" s="204"/>
    </row>
    <row r="13" spans="1:9" ht="21.75" customHeight="1" x14ac:dyDescent="0.2">
      <c r="A13" s="205" t="s">
        <v>90</v>
      </c>
      <c r="B13" s="206"/>
      <c r="C13" s="206"/>
      <c r="D13" s="206"/>
      <c r="E13" s="206"/>
      <c r="F13" s="206"/>
      <c r="G13" s="206"/>
      <c r="H13" s="206"/>
      <c r="I13" s="207"/>
    </row>
    <row r="14" spans="1:9" ht="12.75" customHeight="1" x14ac:dyDescent="0.2">
      <c r="A14" s="208" t="s">
        <v>10</v>
      </c>
      <c r="B14" s="209"/>
      <c r="C14" s="209"/>
      <c r="D14" s="209"/>
      <c r="E14" s="209"/>
      <c r="F14" s="209"/>
      <c r="G14" s="209"/>
      <c r="H14" s="209"/>
      <c r="I14" s="210"/>
    </row>
    <row r="15" spans="1:9" ht="27" customHeight="1" x14ac:dyDescent="0.2">
      <c r="A15" s="3">
        <v>1</v>
      </c>
      <c r="B15" s="181" t="s">
        <v>11</v>
      </c>
      <c r="C15" s="182"/>
      <c r="D15" s="182"/>
      <c r="E15" s="182"/>
      <c r="F15" s="182"/>
      <c r="G15" s="183"/>
      <c r="H15" s="196" t="s">
        <v>186</v>
      </c>
      <c r="I15" s="197"/>
    </row>
    <row r="16" spans="1:9" ht="12.75" customHeight="1" x14ac:dyDescent="0.2">
      <c r="A16" s="3">
        <v>2</v>
      </c>
      <c r="B16" s="181" t="s">
        <v>12</v>
      </c>
      <c r="C16" s="182"/>
      <c r="D16" s="182"/>
      <c r="E16" s="182"/>
      <c r="F16" s="182"/>
      <c r="G16" s="183"/>
      <c r="H16" s="198" t="s">
        <v>153</v>
      </c>
      <c r="I16" s="199"/>
    </row>
    <row r="17" spans="1:9" ht="12.75" customHeight="1" x14ac:dyDescent="0.2">
      <c r="A17" s="3">
        <v>3</v>
      </c>
      <c r="B17" s="181" t="s">
        <v>13</v>
      </c>
      <c r="C17" s="182"/>
      <c r="D17" s="182"/>
      <c r="E17" s="182"/>
      <c r="F17" s="182"/>
      <c r="G17" s="183"/>
      <c r="H17" s="200">
        <v>2105.4</v>
      </c>
      <c r="I17" s="201"/>
    </row>
    <row r="18" spans="1:9" ht="15" customHeight="1" x14ac:dyDescent="0.2">
      <c r="A18" s="3">
        <v>4</v>
      </c>
      <c r="B18" s="181" t="s">
        <v>14</v>
      </c>
      <c r="C18" s="182"/>
      <c r="D18" s="182"/>
      <c r="E18" s="182"/>
      <c r="F18" s="182"/>
      <c r="G18" s="183"/>
      <c r="H18" s="218" t="str">
        <f>'12X36 NOTURNO'!H18:I18</f>
        <v xml:space="preserve"> VIGILANTE</v>
      </c>
      <c r="I18" s="219"/>
    </row>
    <row r="19" spans="1:9" ht="12.75" customHeight="1" x14ac:dyDescent="0.25">
      <c r="A19" s="4">
        <v>5</v>
      </c>
      <c r="B19" s="181" t="s">
        <v>15</v>
      </c>
      <c r="C19" s="182"/>
      <c r="D19" s="182"/>
      <c r="E19" s="182"/>
      <c r="F19" s="182"/>
      <c r="G19" s="183"/>
      <c r="H19" s="220" t="s">
        <v>184</v>
      </c>
      <c r="I19" s="221"/>
    </row>
    <row r="20" spans="1:9" ht="15" x14ac:dyDescent="0.2">
      <c r="A20" s="222"/>
      <c r="B20" s="223"/>
      <c r="C20" s="223"/>
      <c r="D20" s="223"/>
      <c r="E20" s="223"/>
      <c r="F20" s="223"/>
      <c r="G20" s="223"/>
      <c r="H20" s="223"/>
      <c r="I20" s="224"/>
    </row>
    <row r="21" spans="1:9" ht="23.25" customHeight="1" x14ac:dyDescent="0.2">
      <c r="A21" s="205" t="s">
        <v>16</v>
      </c>
      <c r="B21" s="206"/>
      <c r="C21" s="206"/>
      <c r="D21" s="206"/>
      <c r="E21" s="206"/>
      <c r="F21" s="206"/>
      <c r="G21" s="206"/>
      <c r="H21" s="206"/>
      <c r="I21" s="207"/>
    </row>
    <row r="22" spans="1:9" ht="12.75" customHeight="1" x14ac:dyDescent="0.2">
      <c r="A22" s="86">
        <v>1</v>
      </c>
      <c r="B22" s="208" t="s">
        <v>17</v>
      </c>
      <c r="C22" s="209"/>
      <c r="D22" s="209"/>
      <c r="E22" s="209"/>
      <c r="F22" s="209"/>
      <c r="G22" s="210"/>
      <c r="H22" s="86" t="s">
        <v>18</v>
      </c>
      <c r="I22" s="87" t="s">
        <v>19</v>
      </c>
    </row>
    <row r="23" spans="1:9" ht="12.75" customHeight="1" x14ac:dyDescent="0.2">
      <c r="A23" s="3" t="s">
        <v>1</v>
      </c>
      <c r="B23" s="181" t="s">
        <v>157</v>
      </c>
      <c r="C23" s="182"/>
      <c r="D23" s="182"/>
      <c r="E23" s="182"/>
      <c r="F23" s="182"/>
      <c r="G23" s="182"/>
      <c r="H23" s="183"/>
      <c r="I23" s="155">
        <f>H17</f>
        <v>2105.4</v>
      </c>
    </row>
    <row r="24" spans="1:9" ht="12.75" customHeight="1" x14ac:dyDescent="0.2">
      <c r="A24" s="3" t="s">
        <v>3</v>
      </c>
      <c r="B24" s="211" t="s">
        <v>86</v>
      </c>
      <c r="C24" s="212"/>
      <c r="D24" s="212"/>
      <c r="E24" s="212"/>
      <c r="F24" s="212"/>
      <c r="G24" s="213"/>
      <c r="H24" s="5">
        <v>0.3</v>
      </c>
      <c r="I24" s="31">
        <f>TRUNC(I23*30%,2)</f>
        <v>631.62</v>
      </c>
    </row>
    <row r="25" spans="1:9" ht="12.75" customHeight="1" x14ac:dyDescent="0.2">
      <c r="A25" s="3" t="s">
        <v>5</v>
      </c>
      <c r="B25" s="214" t="s">
        <v>87</v>
      </c>
      <c r="C25" s="215"/>
      <c r="D25" s="215"/>
      <c r="E25" s="215"/>
      <c r="F25" s="215"/>
      <c r="G25" s="216"/>
    </row>
    <row r="26" spans="1:9" ht="12.75" customHeight="1" x14ac:dyDescent="0.2">
      <c r="A26" s="3" t="s">
        <v>7</v>
      </c>
      <c r="B26" s="217" t="s">
        <v>20</v>
      </c>
      <c r="C26" s="217"/>
      <c r="D26" s="217"/>
      <c r="E26" s="217"/>
      <c r="F26" s="217"/>
      <c r="G26" s="217"/>
      <c r="H26" s="3"/>
      <c r="I26" s="31"/>
    </row>
    <row r="27" spans="1:9" ht="12.75" customHeight="1" x14ac:dyDescent="0.2">
      <c r="A27" s="3" t="s">
        <v>21</v>
      </c>
      <c r="B27" s="217" t="s">
        <v>22</v>
      </c>
      <c r="C27" s="217"/>
      <c r="D27" s="217"/>
      <c r="E27" s="217"/>
      <c r="F27" s="217"/>
      <c r="G27" s="217"/>
      <c r="H27" s="6"/>
      <c r="I27" s="31"/>
    </row>
    <row r="28" spans="1:9" ht="12.75" customHeight="1" x14ac:dyDescent="0.25">
      <c r="A28" s="7" t="s">
        <v>23</v>
      </c>
      <c r="B28" s="217" t="s">
        <v>154</v>
      </c>
      <c r="C28" s="217"/>
      <c r="D28" s="217"/>
      <c r="E28" s="217"/>
      <c r="F28" s="217"/>
      <c r="G28" s="217"/>
      <c r="H28" s="27">
        <v>0</v>
      </c>
      <c r="I28" s="31">
        <f>H28*I23</f>
        <v>0</v>
      </c>
    </row>
    <row r="29" spans="1:9" ht="12.75" customHeight="1" x14ac:dyDescent="0.2">
      <c r="A29" s="240" t="s">
        <v>26</v>
      </c>
      <c r="B29" s="241"/>
      <c r="C29" s="241"/>
      <c r="D29" s="241"/>
      <c r="E29" s="241"/>
      <c r="F29" s="241"/>
      <c r="G29" s="241"/>
      <c r="H29" s="242"/>
      <c r="I29" s="30">
        <f>SUM(I23:I28)</f>
        <v>2737.02</v>
      </c>
    </row>
    <row r="30" spans="1:9" ht="14.25" x14ac:dyDescent="0.2">
      <c r="A30" s="202"/>
      <c r="B30" s="203"/>
      <c r="C30" s="203"/>
      <c r="D30" s="203"/>
      <c r="E30" s="203"/>
      <c r="F30" s="203"/>
      <c r="G30" s="203"/>
      <c r="H30" s="203"/>
      <c r="I30" s="204"/>
    </row>
    <row r="31" spans="1:9" ht="23.25" customHeight="1" x14ac:dyDescent="0.2">
      <c r="A31" s="243" t="s">
        <v>27</v>
      </c>
      <c r="B31" s="244"/>
      <c r="C31" s="244"/>
      <c r="D31" s="244"/>
      <c r="E31" s="244"/>
      <c r="F31" s="244"/>
      <c r="G31" s="244"/>
      <c r="H31" s="244"/>
      <c r="I31" s="245"/>
    </row>
    <row r="32" spans="1:9" ht="18" customHeight="1" x14ac:dyDescent="0.2">
      <c r="A32" s="88" t="s">
        <v>28</v>
      </c>
      <c r="B32" s="193" t="s">
        <v>29</v>
      </c>
      <c r="C32" s="194"/>
      <c r="D32" s="194"/>
      <c r="E32" s="194"/>
      <c r="F32" s="194"/>
      <c r="G32" s="194"/>
      <c r="H32" s="89" t="s">
        <v>96</v>
      </c>
      <c r="I32" s="90" t="s">
        <v>19</v>
      </c>
    </row>
    <row r="33" spans="1:9" ht="30" customHeight="1" x14ac:dyDescent="0.2">
      <c r="A33" s="8" t="s">
        <v>1</v>
      </c>
      <c r="B33" s="181" t="s">
        <v>88</v>
      </c>
      <c r="C33" s="182"/>
      <c r="D33" s="182"/>
      <c r="E33" s="182"/>
      <c r="F33" s="182"/>
      <c r="G33" s="183"/>
      <c r="H33" s="32">
        <v>8.3333333333333329E-2</v>
      </c>
      <c r="I33" s="155">
        <v>227.99</v>
      </c>
    </row>
    <row r="34" spans="1:9" ht="27" customHeight="1" x14ac:dyDescent="0.2">
      <c r="A34" s="8" t="s">
        <v>3</v>
      </c>
      <c r="B34" s="181" t="s">
        <v>89</v>
      </c>
      <c r="C34" s="182"/>
      <c r="D34" s="182"/>
      <c r="E34" s="182"/>
      <c r="F34" s="182"/>
      <c r="G34" s="183"/>
      <c r="H34" s="32">
        <v>0.121</v>
      </c>
      <c r="I34" s="31">
        <f>TRUNC(I29*H34,2)</f>
        <v>331.17</v>
      </c>
    </row>
    <row r="35" spans="1:9" ht="14.25" x14ac:dyDescent="0.2">
      <c r="A35" s="225" t="s">
        <v>26</v>
      </c>
      <c r="B35" s="226"/>
      <c r="C35" s="226"/>
      <c r="D35" s="226"/>
      <c r="E35" s="226"/>
      <c r="F35" s="226"/>
      <c r="G35" s="227"/>
      <c r="H35" s="29">
        <f>SUM(H33:H34)</f>
        <v>0.20430000000000001</v>
      </c>
      <c r="I35" s="33">
        <f>SUM(I33:I34)</f>
        <v>559.16</v>
      </c>
    </row>
    <row r="36" spans="1:9" ht="14.25" x14ac:dyDescent="0.2">
      <c r="A36" s="228" t="s">
        <v>113</v>
      </c>
      <c r="B36" s="229"/>
      <c r="C36" s="229"/>
      <c r="D36" s="229"/>
      <c r="E36" s="229"/>
      <c r="F36" s="229"/>
      <c r="G36" s="230"/>
      <c r="H36" s="56" t="s">
        <v>114</v>
      </c>
      <c r="I36" s="57">
        <f>I29</f>
        <v>2737.02</v>
      </c>
    </row>
    <row r="37" spans="1:9" ht="14.25" x14ac:dyDescent="0.2">
      <c r="A37" s="231"/>
      <c r="B37" s="232"/>
      <c r="C37" s="232"/>
      <c r="D37" s="232"/>
      <c r="E37" s="232"/>
      <c r="F37" s="232"/>
      <c r="G37" s="233"/>
      <c r="H37" s="56" t="s">
        <v>115</v>
      </c>
      <c r="I37" s="57">
        <f>I35</f>
        <v>559.16</v>
      </c>
    </row>
    <row r="38" spans="1:9" ht="14.25" x14ac:dyDescent="0.2">
      <c r="A38" s="234"/>
      <c r="B38" s="235"/>
      <c r="C38" s="235"/>
      <c r="D38" s="235"/>
      <c r="E38" s="235"/>
      <c r="F38" s="235"/>
      <c r="G38" s="236"/>
      <c r="H38" s="56" t="s">
        <v>26</v>
      </c>
      <c r="I38" s="57">
        <f>SUM(I36:I37)</f>
        <v>3296.18</v>
      </c>
    </row>
    <row r="39" spans="1:9" ht="33" customHeight="1" x14ac:dyDescent="0.2">
      <c r="A39" s="237" t="s">
        <v>116</v>
      </c>
      <c r="B39" s="238"/>
      <c r="C39" s="238"/>
      <c r="D39" s="238"/>
      <c r="E39" s="238"/>
      <c r="F39" s="238"/>
      <c r="G39" s="238"/>
      <c r="H39" s="238"/>
      <c r="I39" s="239"/>
    </row>
    <row r="40" spans="1:9" ht="19.5" customHeight="1" x14ac:dyDescent="0.2">
      <c r="A40" s="91" t="s">
        <v>31</v>
      </c>
      <c r="B40" s="208" t="s">
        <v>32</v>
      </c>
      <c r="C40" s="209"/>
      <c r="D40" s="209"/>
      <c r="E40" s="209"/>
      <c r="F40" s="209"/>
      <c r="G40" s="210"/>
      <c r="H40" s="89" t="s">
        <v>96</v>
      </c>
      <c r="I40" s="92" t="s">
        <v>19</v>
      </c>
    </row>
    <row r="41" spans="1:9" ht="12.75" customHeight="1" x14ac:dyDescent="0.2">
      <c r="A41" s="9" t="s">
        <v>1</v>
      </c>
      <c r="B41" s="181" t="s">
        <v>33</v>
      </c>
      <c r="C41" s="182"/>
      <c r="D41" s="182"/>
      <c r="E41" s="182"/>
      <c r="F41" s="182"/>
      <c r="G41" s="183"/>
      <c r="H41" s="5">
        <v>0.2</v>
      </c>
      <c r="I41" s="31">
        <f>TRUNC(I38*H41,2)</f>
        <v>659.23</v>
      </c>
    </row>
    <row r="42" spans="1:9" ht="12.75" customHeight="1" x14ac:dyDescent="0.2">
      <c r="A42" s="9" t="s">
        <v>3</v>
      </c>
      <c r="B42" s="181" t="s">
        <v>34</v>
      </c>
      <c r="C42" s="182"/>
      <c r="D42" s="182"/>
      <c r="E42" s="182"/>
      <c r="F42" s="182"/>
      <c r="G42" s="183"/>
      <c r="H42" s="5">
        <v>2.5000000000000001E-2</v>
      </c>
      <c r="I42" s="31">
        <f>TRUNC(I38*H42,2)</f>
        <v>82.4</v>
      </c>
    </row>
    <row r="43" spans="1:9" ht="17.25" customHeight="1" x14ac:dyDescent="0.2">
      <c r="A43" s="9" t="s">
        <v>5</v>
      </c>
      <c r="B43" s="181" t="s">
        <v>112</v>
      </c>
      <c r="C43" s="182"/>
      <c r="D43" s="182"/>
      <c r="E43" s="182"/>
      <c r="F43" s="182"/>
      <c r="G43" s="183"/>
      <c r="H43" s="104">
        <v>0.03</v>
      </c>
      <c r="I43" s="31">
        <f>TRUNC(I38*H43,2)</f>
        <v>98.88</v>
      </c>
    </row>
    <row r="44" spans="1:9" ht="12.75" customHeight="1" x14ac:dyDescent="0.2">
      <c r="A44" s="9" t="s">
        <v>7</v>
      </c>
      <c r="B44" s="181" t="s">
        <v>35</v>
      </c>
      <c r="C44" s="182"/>
      <c r="D44" s="182"/>
      <c r="E44" s="182"/>
      <c r="F44" s="182"/>
      <c r="G44" s="183"/>
      <c r="H44" s="5">
        <v>1.4999999999999999E-2</v>
      </c>
      <c r="I44" s="31">
        <f>TRUNC(I38*H44,2)</f>
        <v>49.44</v>
      </c>
    </row>
    <row r="45" spans="1:9" ht="12.75" customHeight="1" x14ac:dyDescent="0.2">
      <c r="A45" s="9" t="s">
        <v>21</v>
      </c>
      <c r="B45" s="181" t="s">
        <v>36</v>
      </c>
      <c r="C45" s="182"/>
      <c r="D45" s="182"/>
      <c r="E45" s="182"/>
      <c r="F45" s="182"/>
      <c r="G45" s="183"/>
      <c r="H45" s="5">
        <v>0.01</v>
      </c>
      <c r="I45" s="31">
        <f>TRUNC(I38*H45,2)</f>
        <v>32.96</v>
      </c>
    </row>
    <row r="46" spans="1:9" ht="12.75" customHeight="1" x14ac:dyDescent="0.2">
      <c r="A46" s="9" t="s">
        <v>23</v>
      </c>
      <c r="B46" s="181" t="s">
        <v>37</v>
      </c>
      <c r="C46" s="182"/>
      <c r="D46" s="182"/>
      <c r="E46" s="182"/>
      <c r="F46" s="182"/>
      <c r="G46" s="183"/>
      <c r="H46" s="5">
        <v>6.0000000000000001E-3</v>
      </c>
      <c r="I46" s="31">
        <f>TRUNC(I38*H46,2)</f>
        <v>19.77</v>
      </c>
    </row>
    <row r="47" spans="1:9" ht="12.75" customHeight="1" x14ac:dyDescent="0.2">
      <c r="A47" s="9" t="s">
        <v>24</v>
      </c>
      <c r="B47" s="181" t="s">
        <v>38</v>
      </c>
      <c r="C47" s="182"/>
      <c r="D47" s="182"/>
      <c r="E47" s="182"/>
      <c r="F47" s="182"/>
      <c r="G47" s="183"/>
      <c r="H47" s="5">
        <v>2E-3</v>
      </c>
      <c r="I47" s="31">
        <f>TRUNC(I38*H47,2)</f>
        <v>6.59</v>
      </c>
    </row>
    <row r="48" spans="1:9" ht="12.75" customHeight="1" x14ac:dyDescent="0.2">
      <c r="A48" s="10" t="s">
        <v>39</v>
      </c>
      <c r="B48" s="181" t="s">
        <v>40</v>
      </c>
      <c r="C48" s="182"/>
      <c r="D48" s="182"/>
      <c r="E48" s="182"/>
      <c r="F48" s="182"/>
      <c r="G48" s="183"/>
      <c r="H48" s="103">
        <v>0.08</v>
      </c>
      <c r="I48" s="31">
        <f>SUM(I38*H48)</f>
        <v>263.69</v>
      </c>
    </row>
    <row r="49" spans="1:12" ht="18.75" customHeight="1" x14ac:dyDescent="0.2">
      <c r="A49" s="246" t="s">
        <v>30</v>
      </c>
      <c r="B49" s="247"/>
      <c r="C49" s="247"/>
      <c r="D49" s="247"/>
      <c r="E49" s="247"/>
      <c r="F49" s="247"/>
      <c r="G49" s="248"/>
      <c r="H49" s="34">
        <f>SUM(H41:H48)</f>
        <v>0.36799999999999999</v>
      </c>
      <c r="I49" s="33">
        <f>SUM(I41:I48)</f>
        <v>1212.96</v>
      </c>
    </row>
    <row r="50" spans="1:12" ht="33" customHeight="1" x14ac:dyDescent="0.2">
      <c r="A50" s="249" t="s">
        <v>117</v>
      </c>
      <c r="B50" s="250"/>
      <c r="C50" s="250"/>
      <c r="D50" s="250"/>
      <c r="E50" s="250"/>
      <c r="F50" s="250"/>
      <c r="G50" s="250"/>
      <c r="H50" s="250"/>
      <c r="I50" s="250"/>
    </row>
    <row r="51" spans="1:12" ht="17.25" customHeight="1" x14ac:dyDescent="0.2">
      <c r="A51" s="93" t="s">
        <v>41</v>
      </c>
      <c r="B51" s="251" t="s">
        <v>42</v>
      </c>
      <c r="C51" s="252"/>
      <c r="D51" s="252"/>
      <c r="E51" s="252"/>
      <c r="F51" s="252"/>
      <c r="G51" s="252"/>
      <c r="H51" s="253"/>
      <c r="I51" s="94" t="s">
        <v>19</v>
      </c>
    </row>
    <row r="52" spans="1:12" ht="15" x14ac:dyDescent="0.2">
      <c r="A52" s="8" t="s">
        <v>1</v>
      </c>
      <c r="B52" s="254" t="s">
        <v>43</v>
      </c>
      <c r="C52" s="255"/>
      <c r="D52" s="255"/>
      <c r="E52" s="255"/>
      <c r="F52" s="255"/>
      <c r="G52" s="255"/>
      <c r="H52" s="256"/>
      <c r="I52" s="35">
        <f>K52-L52</f>
        <v>128.88</v>
      </c>
      <c r="K52">
        <f>H53*H54*22</f>
        <v>255.2</v>
      </c>
      <c r="L52" s="122">
        <f>I23*H55</f>
        <v>126.32</v>
      </c>
    </row>
    <row r="53" spans="1:12" ht="24.75" customHeight="1" x14ac:dyDescent="0.2">
      <c r="A53" s="8"/>
      <c r="B53" s="263" t="s">
        <v>44</v>
      </c>
      <c r="C53" s="264"/>
      <c r="D53" s="264"/>
      <c r="E53" s="264"/>
      <c r="F53" s="264"/>
      <c r="G53" s="265"/>
      <c r="H53" s="100">
        <v>5.8</v>
      </c>
      <c r="I53" s="31" t="s">
        <v>45</v>
      </c>
    </row>
    <row r="54" spans="1:12" ht="12.75" customHeight="1" x14ac:dyDescent="0.2">
      <c r="A54" s="11"/>
      <c r="B54" s="263" t="s">
        <v>110</v>
      </c>
      <c r="C54" s="264"/>
      <c r="D54" s="264"/>
      <c r="E54" s="264"/>
      <c r="F54" s="264"/>
      <c r="G54" s="265"/>
      <c r="H54" s="101">
        <v>2</v>
      </c>
      <c r="I54" s="36" t="s">
        <v>45</v>
      </c>
    </row>
    <row r="55" spans="1:12" ht="12.75" customHeight="1" x14ac:dyDescent="0.2">
      <c r="A55" s="8"/>
      <c r="B55" s="263" t="s">
        <v>46</v>
      </c>
      <c r="C55" s="264"/>
      <c r="D55" s="264"/>
      <c r="E55" s="264"/>
      <c r="F55" s="264"/>
      <c r="G55" s="265"/>
      <c r="H55" s="102">
        <v>0.06</v>
      </c>
      <c r="I55" s="31"/>
    </row>
    <row r="56" spans="1:12" ht="15" customHeight="1" x14ac:dyDescent="0.2">
      <c r="A56" s="8" t="s">
        <v>3</v>
      </c>
      <c r="B56" s="190" t="s">
        <v>47</v>
      </c>
      <c r="C56" s="190"/>
      <c r="D56" s="190"/>
      <c r="E56" s="190"/>
      <c r="F56" s="190"/>
      <c r="G56" s="190"/>
      <c r="H56" s="121">
        <v>30</v>
      </c>
      <c r="I56" s="105">
        <f>ROUND((H56*22)*0.8,2)</f>
        <v>528</v>
      </c>
    </row>
    <row r="57" spans="1:12" ht="17.25" customHeight="1" x14ac:dyDescent="0.2">
      <c r="A57" s="8" t="s">
        <v>5</v>
      </c>
      <c r="B57" s="190" t="s">
        <v>48</v>
      </c>
      <c r="C57" s="190"/>
      <c r="D57" s="190"/>
      <c r="E57" s="190"/>
      <c r="F57" s="190"/>
      <c r="G57" s="190"/>
      <c r="H57" s="12"/>
      <c r="I57" s="105">
        <v>0</v>
      </c>
    </row>
    <row r="58" spans="1:12" ht="28.5" customHeight="1" x14ac:dyDescent="0.2">
      <c r="A58" s="8" t="s">
        <v>7</v>
      </c>
      <c r="B58" s="190" t="s">
        <v>83</v>
      </c>
      <c r="C58" s="190"/>
      <c r="D58" s="190"/>
      <c r="E58" s="190"/>
      <c r="F58" s="190"/>
      <c r="G58" s="190"/>
      <c r="H58" s="12"/>
      <c r="I58" s="106">
        <v>18</v>
      </c>
    </row>
    <row r="59" spans="1:12" ht="22.5" customHeight="1" x14ac:dyDescent="0.2">
      <c r="A59" s="8" t="s">
        <v>21</v>
      </c>
      <c r="B59" s="190" t="s">
        <v>155</v>
      </c>
      <c r="C59" s="190"/>
      <c r="D59" s="190"/>
      <c r="E59" s="190"/>
      <c r="F59" s="190"/>
      <c r="G59" s="190"/>
      <c r="H59" s="12"/>
      <c r="I59" s="106">
        <v>15.62</v>
      </c>
    </row>
    <row r="60" spans="1:12" ht="22.5" customHeight="1" x14ac:dyDescent="0.2">
      <c r="A60" s="8" t="s">
        <v>23</v>
      </c>
      <c r="B60" s="190" t="s">
        <v>84</v>
      </c>
      <c r="C60" s="190"/>
      <c r="D60" s="190"/>
      <c r="E60" s="190"/>
      <c r="F60" s="190"/>
      <c r="G60" s="190"/>
      <c r="H60" s="12"/>
      <c r="I60" s="106">
        <v>0</v>
      </c>
    </row>
    <row r="61" spans="1:12" ht="19.5" customHeight="1" x14ac:dyDescent="0.2">
      <c r="A61" s="13"/>
      <c r="B61" s="257" t="s">
        <v>30</v>
      </c>
      <c r="C61" s="258"/>
      <c r="D61" s="258"/>
      <c r="E61" s="258"/>
      <c r="F61" s="258"/>
      <c r="G61" s="258"/>
      <c r="H61" s="259"/>
      <c r="I61" s="33">
        <f>SUM(I52:I60)</f>
        <v>690.5</v>
      </c>
    </row>
    <row r="62" spans="1:12" ht="30.75" customHeight="1" x14ac:dyDescent="0.2">
      <c r="A62" s="243" t="s">
        <v>49</v>
      </c>
      <c r="B62" s="244"/>
      <c r="C62" s="244"/>
      <c r="D62" s="244"/>
      <c r="E62" s="244"/>
      <c r="F62" s="244"/>
      <c r="G62" s="244"/>
      <c r="H62" s="244"/>
      <c r="I62" s="245"/>
    </row>
    <row r="63" spans="1:12" ht="20.25" customHeight="1" x14ac:dyDescent="0.2">
      <c r="A63" s="95">
        <v>2</v>
      </c>
      <c r="B63" s="260" t="s">
        <v>50</v>
      </c>
      <c r="C63" s="261"/>
      <c r="D63" s="261"/>
      <c r="E63" s="261"/>
      <c r="F63" s="261"/>
      <c r="G63" s="261"/>
      <c r="H63" s="262"/>
      <c r="I63" s="96" t="s">
        <v>19</v>
      </c>
    </row>
    <row r="64" spans="1:12" ht="12.75" customHeight="1" x14ac:dyDescent="0.2">
      <c r="A64" s="8" t="s">
        <v>28</v>
      </c>
      <c r="B64" s="181" t="s">
        <v>29</v>
      </c>
      <c r="C64" s="182"/>
      <c r="D64" s="182"/>
      <c r="E64" s="182"/>
      <c r="F64" s="182"/>
      <c r="G64" s="182"/>
      <c r="H64" s="183"/>
      <c r="I64" s="31">
        <f>I35</f>
        <v>559.16</v>
      </c>
    </row>
    <row r="65" spans="1:9" ht="12.75" customHeight="1" x14ac:dyDescent="0.2">
      <c r="A65" s="8" t="s">
        <v>31</v>
      </c>
      <c r="B65" s="181" t="s">
        <v>32</v>
      </c>
      <c r="C65" s="182"/>
      <c r="D65" s="182"/>
      <c r="E65" s="182"/>
      <c r="F65" s="182"/>
      <c r="G65" s="182"/>
      <c r="H65" s="183"/>
      <c r="I65" s="31">
        <f>I49</f>
        <v>1212.96</v>
      </c>
    </row>
    <row r="66" spans="1:9" ht="12.75" customHeight="1" x14ac:dyDescent="0.2">
      <c r="A66" s="8" t="s">
        <v>41</v>
      </c>
      <c r="B66" s="181" t="s">
        <v>42</v>
      </c>
      <c r="C66" s="182"/>
      <c r="D66" s="182"/>
      <c r="E66" s="182"/>
      <c r="F66" s="182"/>
      <c r="G66" s="182"/>
      <c r="H66" s="183"/>
      <c r="I66" s="31">
        <f>I61</f>
        <v>690.5</v>
      </c>
    </row>
    <row r="67" spans="1:9" ht="14.25" x14ac:dyDescent="0.2">
      <c r="A67" s="257" t="s">
        <v>26</v>
      </c>
      <c r="B67" s="258"/>
      <c r="C67" s="258"/>
      <c r="D67" s="258"/>
      <c r="E67" s="258"/>
      <c r="F67" s="258"/>
      <c r="G67" s="258"/>
      <c r="H67" s="259"/>
      <c r="I67" s="33">
        <f>SUM(I64:I66)</f>
        <v>2462.62</v>
      </c>
    </row>
    <row r="68" spans="1:9" ht="14.25" x14ac:dyDescent="0.2">
      <c r="A68" s="202"/>
      <c r="B68" s="203"/>
      <c r="C68" s="203"/>
      <c r="D68" s="203"/>
      <c r="E68" s="203"/>
      <c r="F68" s="203"/>
      <c r="G68" s="203"/>
      <c r="H68" s="203"/>
      <c r="I68" s="204"/>
    </row>
    <row r="69" spans="1:9" ht="26.25" customHeight="1" x14ac:dyDescent="0.2">
      <c r="A69" s="243" t="s">
        <v>51</v>
      </c>
      <c r="B69" s="244"/>
      <c r="C69" s="244"/>
      <c r="D69" s="244"/>
      <c r="E69" s="244"/>
      <c r="F69" s="244"/>
      <c r="G69" s="244"/>
      <c r="H69" s="244"/>
      <c r="I69" s="245"/>
    </row>
    <row r="70" spans="1:9" ht="26.25" customHeight="1" x14ac:dyDescent="0.2">
      <c r="A70" s="86">
        <v>3</v>
      </c>
      <c r="B70" s="208" t="s">
        <v>97</v>
      </c>
      <c r="C70" s="209"/>
      <c r="D70" s="209"/>
      <c r="E70" s="209"/>
      <c r="F70" s="209"/>
      <c r="G70" s="210"/>
      <c r="H70" s="86" t="s">
        <v>96</v>
      </c>
      <c r="I70" s="87" t="s">
        <v>19</v>
      </c>
    </row>
    <row r="71" spans="1:9" ht="39" customHeight="1" x14ac:dyDescent="0.2">
      <c r="A71" s="8" t="s">
        <v>1</v>
      </c>
      <c r="B71" s="217" t="s">
        <v>91</v>
      </c>
      <c r="C71" s="217"/>
      <c r="D71" s="217"/>
      <c r="E71" s="217"/>
      <c r="F71" s="217"/>
      <c r="G71" s="217"/>
      <c r="H71" s="27">
        <f>(1/12*0.7242)</f>
        <v>6.0400000000000002E-2</v>
      </c>
      <c r="I71" s="37">
        <f>H71*I38</f>
        <v>199.09</v>
      </c>
    </row>
    <row r="72" spans="1:9" ht="15" x14ac:dyDescent="0.2">
      <c r="A72" s="8" t="s">
        <v>3</v>
      </c>
      <c r="B72" s="266" t="s">
        <v>52</v>
      </c>
      <c r="C72" s="266"/>
      <c r="D72" s="266"/>
      <c r="E72" s="266"/>
      <c r="F72" s="266"/>
      <c r="G72" s="266"/>
      <c r="H72" s="5">
        <v>0.08</v>
      </c>
      <c r="I72" s="31">
        <f>I71*H72</f>
        <v>15.93</v>
      </c>
    </row>
    <row r="73" spans="1:9" ht="12.75" customHeight="1" x14ac:dyDescent="0.2">
      <c r="A73" s="14" t="s">
        <v>5</v>
      </c>
      <c r="B73" s="217" t="s">
        <v>53</v>
      </c>
      <c r="C73" s="217"/>
      <c r="D73" s="217"/>
      <c r="E73" s="217"/>
      <c r="F73" s="217"/>
      <c r="G73" s="217"/>
      <c r="H73" s="27">
        <v>0.04</v>
      </c>
      <c r="I73" s="38">
        <f>H73*I38</f>
        <v>131.85</v>
      </c>
    </row>
    <row r="74" spans="1:9" ht="17.25" customHeight="1" x14ac:dyDescent="0.2">
      <c r="A74" s="14" t="s">
        <v>7</v>
      </c>
      <c r="B74" s="217" t="s">
        <v>92</v>
      </c>
      <c r="C74" s="217"/>
      <c r="D74" s="217"/>
      <c r="E74" s="217"/>
      <c r="F74" s="217"/>
      <c r="G74" s="217"/>
      <c r="H74" s="27">
        <f>(((7/30)/12))</f>
        <v>1.9400000000000001E-2</v>
      </c>
      <c r="I74" s="38">
        <f>H74*I38</f>
        <v>63.95</v>
      </c>
    </row>
    <row r="75" spans="1:9" ht="15" x14ac:dyDescent="0.2">
      <c r="A75" s="8" t="s">
        <v>21</v>
      </c>
      <c r="B75" s="266" t="s">
        <v>54</v>
      </c>
      <c r="C75" s="266"/>
      <c r="D75" s="266"/>
      <c r="E75" s="266"/>
      <c r="F75" s="266"/>
      <c r="G75" s="266"/>
      <c r="H75" s="5">
        <f>H49</f>
        <v>0.36799999999999999</v>
      </c>
      <c r="I75" s="31">
        <f>H75*I74</f>
        <v>23.53</v>
      </c>
    </row>
    <row r="76" spans="1:9" ht="12.75" customHeight="1" x14ac:dyDescent="0.2">
      <c r="A76" s="14" t="s">
        <v>23</v>
      </c>
      <c r="B76" s="217" t="s">
        <v>55</v>
      </c>
      <c r="C76" s="217"/>
      <c r="D76" s="217"/>
      <c r="E76" s="217"/>
      <c r="F76" s="217"/>
      <c r="G76" s="217"/>
      <c r="H76" s="27">
        <v>0.04</v>
      </c>
      <c r="I76" s="38">
        <f>H76*I38</f>
        <v>131.85</v>
      </c>
    </row>
    <row r="77" spans="1:9" ht="14.25" x14ac:dyDescent="0.2">
      <c r="A77" s="257" t="s">
        <v>26</v>
      </c>
      <c r="B77" s="258"/>
      <c r="C77" s="258"/>
      <c r="D77" s="258"/>
      <c r="E77" s="258"/>
      <c r="F77" s="258"/>
      <c r="G77" s="258"/>
      <c r="H77" s="259"/>
      <c r="I77" s="33">
        <f>SUM(I71:I76)</f>
        <v>566.20000000000005</v>
      </c>
    </row>
    <row r="78" spans="1:9" ht="14.25" x14ac:dyDescent="0.2">
      <c r="A78" s="270" t="s">
        <v>118</v>
      </c>
      <c r="B78" s="270"/>
      <c r="C78" s="270"/>
      <c r="D78" s="270"/>
      <c r="E78" s="270"/>
      <c r="F78" s="270"/>
      <c r="G78" s="270"/>
      <c r="H78" s="64" t="s">
        <v>114</v>
      </c>
      <c r="I78" s="58">
        <f>I29</f>
        <v>2737.02</v>
      </c>
    </row>
    <row r="79" spans="1:9" ht="14.25" x14ac:dyDescent="0.2">
      <c r="A79" s="270"/>
      <c r="B79" s="270"/>
      <c r="C79" s="270"/>
      <c r="D79" s="270"/>
      <c r="E79" s="270"/>
      <c r="F79" s="270"/>
      <c r="G79" s="270"/>
      <c r="H79" s="64" t="s">
        <v>119</v>
      </c>
      <c r="I79" s="58">
        <f>I67</f>
        <v>2462.62</v>
      </c>
    </row>
    <row r="80" spans="1:9" ht="14.25" x14ac:dyDescent="0.2">
      <c r="A80" s="270"/>
      <c r="B80" s="270"/>
      <c r="C80" s="270"/>
      <c r="D80" s="270"/>
      <c r="E80" s="270"/>
      <c r="F80" s="270"/>
      <c r="G80" s="270"/>
      <c r="H80" s="64" t="s">
        <v>120</v>
      </c>
      <c r="I80" s="58">
        <f>I77</f>
        <v>566.20000000000005</v>
      </c>
    </row>
    <row r="81" spans="1:9" ht="14.25" x14ac:dyDescent="0.2">
      <c r="A81" s="270"/>
      <c r="B81" s="270"/>
      <c r="C81" s="270"/>
      <c r="D81" s="270"/>
      <c r="E81" s="270"/>
      <c r="F81" s="270"/>
      <c r="G81" s="270"/>
      <c r="H81" s="59" t="s">
        <v>26</v>
      </c>
      <c r="I81" s="60">
        <f>SUM(I78:I80)</f>
        <v>5765.84</v>
      </c>
    </row>
    <row r="82" spans="1:9" ht="26.25" customHeight="1" x14ac:dyDescent="0.2">
      <c r="A82" s="205" t="s">
        <v>56</v>
      </c>
      <c r="B82" s="206"/>
      <c r="C82" s="206"/>
      <c r="D82" s="206"/>
      <c r="E82" s="206"/>
      <c r="F82" s="206"/>
      <c r="G82" s="206"/>
      <c r="H82" s="206"/>
      <c r="I82" s="207"/>
    </row>
    <row r="83" spans="1:9" ht="14.25" x14ac:dyDescent="0.2">
      <c r="A83" s="97" t="s">
        <v>57</v>
      </c>
      <c r="B83" s="271" t="s">
        <v>58</v>
      </c>
      <c r="C83" s="271"/>
      <c r="D83" s="271"/>
      <c r="E83" s="271"/>
      <c r="F83" s="271"/>
      <c r="G83" s="271"/>
      <c r="H83" s="86" t="s">
        <v>96</v>
      </c>
      <c r="I83" s="98" t="s">
        <v>19</v>
      </c>
    </row>
    <row r="84" spans="1:9" ht="24.75" customHeight="1" x14ac:dyDescent="0.2">
      <c r="A84" s="8" t="s">
        <v>1</v>
      </c>
      <c r="B84" s="217" t="s">
        <v>172</v>
      </c>
      <c r="C84" s="217"/>
      <c r="D84" s="217"/>
      <c r="E84" s="217"/>
      <c r="F84" s="217"/>
      <c r="G84" s="217"/>
      <c r="H84" s="27">
        <f>H35/12</f>
        <v>1.7000000000000001E-2</v>
      </c>
      <c r="I84" s="31">
        <f>H84*I81</f>
        <v>98.02</v>
      </c>
    </row>
    <row r="85" spans="1:9" ht="15" x14ac:dyDescent="0.2">
      <c r="A85" s="8" t="s">
        <v>3</v>
      </c>
      <c r="B85" s="266" t="s">
        <v>177</v>
      </c>
      <c r="C85" s="266"/>
      <c r="D85" s="266"/>
      <c r="E85" s="266"/>
      <c r="F85" s="266"/>
      <c r="G85" s="266"/>
      <c r="H85" s="5">
        <v>5.5999999999999999E-3</v>
      </c>
      <c r="I85" s="38">
        <f>H85*I81</f>
        <v>32.29</v>
      </c>
    </row>
    <row r="86" spans="1:9" ht="15" x14ac:dyDescent="0.2">
      <c r="A86" s="8" t="s">
        <v>5</v>
      </c>
      <c r="B86" s="266" t="s">
        <v>173</v>
      </c>
      <c r="C86" s="266"/>
      <c r="D86" s="266"/>
      <c r="E86" s="266"/>
      <c r="F86" s="266"/>
      <c r="G86" s="266"/>
      <c r="H86" s="61">
        <f>((5/30/12)*0.02)</f>
        <v>2.7999999999999998E-4</v>
      </c>
      <c r="I86" s="38">
        <f>TRUNC(H86*I81,2)</f>
        <v>1.61</v>
      </c>
    </row>
    <row r="87" spans="1:9" ht="15" x14ac:dyDescent="0.2">
      <c r="A87" s="8" t="s">
        <v>7</v>
      </c>
      <c r="B87" s="266" t="s">
        <v>179</v>
      </c>
      <c r="C87" s="266"/>
      <c r="D87" s="266"/>
      <c r="E87" s="266"/>
      <c r="F87" s="266"/>
      <c r="G87" s="266"/>
      <c r="H87" s="5">
        <f>((15/30)/12)*0.08</f>
        <v>3.3E-3</v>
      </c>
      <c r="I87" s="38">
        <f>TRUNC(H87*I81,2)</f>
        <v>19.02</v>
      </c>
    </row>
    <row r="88" spans="1:9" ht="15" x14ac:dyDescent="0.2">
      <c r="A88" s="8" t="s">
        <v>21</v>
      </c>
      <c r="B88" s="266" t="s">
        <v>178</v>
      </c>
      <c r="C88" s="266"/>
      <c r="D88" s="266"/>
      <c r="E88" s="266"/>
      <c r="F88" s="266"/>
      <c r="G88" s="266"/>
      <c r="H88" s="5">
        <f>0.121*0.03*((4/12))</f>
        <v>1.1999999999999999E-3</v>
      </c>
      <c r="I88" s="31">
        <f>TRUNC(H88*I81,2)</f>
        <v>6.91</v>
      </c>
    </row>
    <row r="89" spans="1:9" ht="15" x14ac:dyDescent="0.25">
      <c r="A89" s="4" t="s">
        <v>23</v>
      </c>
      <c r="B89" s="266" t="s">
        <v>25</v>
      </c>
      <c r="C89" s="266"/>
      <c r="D89" s="266"/>
      <c r="E89" s="266"/>
      <c r="F89" s="266"/>
      <c r="G89" s="266"/>
      <c r="H89" s="5"/>
      <c r="I89" s="31"/>
    </row>
    <row r="90" spans="1:9" ht="14.25" x14ac:dyDescent="0.2">
      <c r="A90" s="257" t="s">
        <v>30</v>
      </c>
      <c r="B90" s="258"/>
      <c r="C90" s="258"/>
      <c r="D90" s="258"/>
      <c r="E90" s="258"/>
      <c r="F90" s="258"/>
      <c r="G90" s="258"/>
      <c r="H90" s="259"/>
      <c r="I90" s="33">
        <f>SUM(I84:I88)</f>
        <v>157.85</v>
      </c>
    </row>
    <row r="91" spans="1:9" ht="14.25" x14ac:dyDescent="0.2">
      <c r="A91" s="97" t="s">
        <v>59</v>
      </c>
      <c r="B91" s="267" t="s">
        <v>60</v>
      </c>
      <c r="C91" s="268"/>
      <c r="D91" s="268"/>
      <c r="E91" s="268"/>
      <c r="F91" s="268"/>
      <c r="G91" s="268"/>
      <c r="H91" s="269"/>
      <c r="I91" s="98" t="s">
        <v>19</v>
      </c>
    </row>
    <row r="92" spans="1:9" ht="12.75" customHeight="1" x14ac:dyDescent="0.2">
      <c r="A92" s="8" t="s">
        <v>1</v>
      </c>
      <c r="B92" s="190" t="s">
        <v>61</v>
      </c>
      <c r="C92" s="190"/>
      <c r="D92" s="190"/>
      <c r="E92" s="190"/>
      <c r="F92" s="190"/>
      <c r="G92" s="190"/>
      <c r="H92" s="39"/>
      <c r="I92" s="40">
        <v>0</v>
      </c>
    </row>
    <row r="93" spans="1:9" ht="14.25" x14ac:dyDescent="0.2">
      <c r="A93" s="257" t="s">
        <v>30</v>
      </c>
      <c r="B93" s="258"/>
      <c r="C93" s="258"/>
      <c r="D93" s="258"/>
      <c r="E93" s="258"/>
      <c r="F93" s="258"/>
      <c r="G93" s="258"/>
      <c r="H93" s="259"/>
      <c r="I93" s="28">
        <f>SUM(I92:I92)</f>
        <v>0</v>
      </c>
    </row>
    <row r="94" spans="1:9" ht="21.75" customHeight="1" x14ac:dyDescent="0.2">
      <c r="A94" s="243" t="s">
        <v>62</v>
      </c>
      <c r="B94" s="244"/>
      <c r="C94" s="244"/>
      <c r="D94" s="244"/>
      <c r="E94" s="244"/>
      <c r="F94" s="244"/>
      <c r="G94" s="244"/>
      <c r="H94" s="244"/>
      <c r="I94" s="245"/>
    </row>
    <row r="95" spans="1:9" ht="12.75" customHeight="1" x14ac:dyDescent="0.2">
      <c r="A95" s="88">
        <v>4</v>
      </c>
      <c r="B95" s="208" t="s">
        <v>63</v>
      </c>
      <c r="C95" s="209"/>
      <c r="D95" s="209"/>
      <c r="E95" s="209"/>
      <c r="F95" s="209"/>
      <c r="G95" s="209"/>
      <c r="H95" s="210"/>
      <c r="I95" s="90" t="s">
        <v>19</v>
      </c>
    </row>
    <row r="96" spans="1:9" ht="12.75" customHeight="1" x14ac:dyDescent="0.2">
      <c r="A96" s="8" t="s">
        <v>57</v>
      </c>
      <c r="B96" s="190" t="s">
        <v>58</v>
      </c>
      <c r="C96" s="190"/>
      <c r="D96" s="190"/>
      <c r="E96" s="190"/>
      <c r="F96" s="190"/>
      <c r="G96" s="190"/>
      <c r="H96" s="15"/>
      <c r="I96" s="31">
        <f>I90</f>
        <v>157.85</v>
      </c>
    </row>
    <row r="97" spans="1:9" ht="12.75" customHeight="1" x14ac:dyDescent="0.2">
      <c r="A97" s="8" t="s">
        <v>59</v>
      </c>
      <c r="B97" s="190" t="s">
        <v>60</v>
      </c>
      <c r="C97" s="190"/>
      <c r="D97" s="190"/>
      <c r="E97" s="190"/>
      <c r="F97" s="190"/>
      <c r="G97" s="190"/>
      <c r="H97" s="15"/>
      <c r="I97" s="31">
        <f>I93</f>
        <v>0</v>
      </c>
    </row>
    <row r="98" spans="1:9" ht="14.25" x14ac:dyDescent="0.2">
      <c r="A98" s="257" t="s">
        <v>26</v>
      </c>
      <c r="B98" s="258"/>
      <c r="C98" s="258"/>
      <c r="D98" s="258"/>
      <c r="E98" s="258"/>
      <c r="F98" s="258"/>
      <c r="G98" s="258"/>
      <c r="H98" s="259"/>
      <c r="I98" s="33">
        <f>SUM(I96:I97)</f>
        <v>157.85</v>
      </c>
    </row>
    <row r="99" spans="1:9" ht="14.25" x14ac:dyDescent="0.2">
      <c r="A99" s="202"/>
      <c r="B99" s="203"/>
      <c r="C99" s="203"/>
      <c r="D99" s="203"/>
      <c r="E99" s="203"/>
      <c r="F99" s="203"/>
      <c r="G99" s="203"/>
      <c r="H99" s="203"/>
      <c r="I99" s="204"/>
    </row>
    <row r="100" spans="1:9" ht="18.75" customHeight="1" x14ac:dyDescent="0.2">
      <c r="A100" s="205" t="s">
        <v>64</v>
      </c>
      <c r="B100" s="206"/>
      <c r="C100" s="206"/>
      <c r="D100" s="206"/>
      <c r="E100" s="206"/>
      <c r="F100" s="206"/>
      <c r="G100" s="206"/>
      <c r="H100" s="206"/>
      <c r="I100" s="207"/>
    </row>
    <row r="101" spans="1:9" ht="12.75" customHeight="1" x14ac:dyDescent="0.2">
      <c r="A101" s="88">
        <v>5</v>
      </c>
      <c r="B101" s="208" t="s">
        <v>65</v>
      </c>
      <c r="C101" s="209"/>
      <c r="D101" s="209"/>
      <c r="E101" s="209"/>
      <c r="F101" s="209"/>
      <c r="G101" s="209"/>
      <c r="H101" s="210"/>
      <c r="I101" s="90" t="s">
        <v>19</v>
      </c>
    </row>
    <row r="102" spans="1:9" ht="15" customHeight="1" x14ac:dyDescent="0.2">
      <c r="A102" s="8" t="s">
        <v>1</v>
      </c>
      <c r="B102" s="181" t="s">
        <v>66</v>
      </c>
      <c r="C102" s="182"/>
      <c r="D102" s="182"/>
      <c r="E102" s="182"/>
      <c r="F102" s="182"/>
      <c r="G102" s="182"/>
      <c r="H102" s="183"/>
      <c r="I102" s="31">
        <v>86.76</v>
      </c>
    </row>
    <row r="103" spans="1:9" ht="15" x14ac:dyDescent="0.2">
      <c r="A103" s="8" t="s">
        <v>3</v>
      </c>
      <c r="B103" s="254" t="s">
        <v>67</v>
      </c>
      <c r="C103" s="255"/>
      <c r="D103" s="255"/>
      <c r="E103" s="255"/>
      <c r="F103" s="255"/>
      <c r="G103" s="255"/>
      <c r="H103" s="256"/>
      <c r="I103" s="112">
        <v>55.63</v>
      </c>
    </row>
    <row r="104" spans="1:9" ht="14.25" x14ac:dyDescent="0.2">
      <c r="A104" s="257" t="s">
        <v>26</v>
      </c>
      <c r="B104" s="258"/>
      <c r="C104" s="258"/>
      <c r="D104" s="258"/>
      <c r="E104" s="258"/>
      <c r="F104" s="258"/>
      <c r="G104" s="258"/>
      <c r="H104" s="259"/>
      <c r="I104" s="41">
        <f>ROUND(SUM(I102:I103),2)</f>
        <v>142.38999999999999</v>
      </c>
    </row>
    <row r="105" spans="1:9" ht="14.25" customHeight="1" x14ac:dyDescent="0.2">
      <c r="A105" s="272" t="s">
        <v>121</v>
      </c>
      <c r="B105" s="273"/>
      <c r="C105" s="273"/>
      <c r="D105" s="273"/>
      <c r="E105" s="273"/>
      <c r="F105" s="273"/>
      <c r="G105" s="274"/>
      <c r="H105" s="64" t="s">
        <v>114</v>
      </c>
      <c r="I105" s="62">
        <f>I29</f>
        <v>2737.02</v>
      </c>
    </row>
    <row r="106" spans="1:9" ht="14.25" x14ac:dyDescent="0.2">
      <c r="A106" s="275"/>
      <c r="B106" s="276"/>
      <c r="C106" s="276"/>
      <c r="D106" s="276"/>
      <c r="E106" s="276"/>
      <c r="F106" s="276"/>
      <c r="G106" s="277"/>
      <c r="H106" s="64" t="s">
        <v>119</v>
      </c>
      <c r="I106" s="62">
        <f>I67</f>
        <v>2462.62</v>
      </c>
    </row>
    <row r="107" spans="1:9" ht="14.25" x14ac:dyDescent="0.2">
      <c r="A107" s="275"/>
      <c r="B107" s="276"/>
      <c r="C107" s="276"/>
      <c r="D107" s="276"/>
      <c r="E107" s="276"/>
      <c r="F107" s="276"/>
      <c r="G107" s="277"/>
      <c r="H107" s="64" t="s">
        <v>120</v>
      </c>
      <c r="I107" s="62">
        <f>I77</f>
        <v>566.20000000000005</v>
      </c>
    </row>
    <row r="108" spans="1:9" ht="14.25" x14ac:dyDescent="0.2">
      <c r="A108" s="275"/>
      <c r="B108" s="276"/>
      <c r="C108" s="276"/>
      <c r="D108" s="276"/>
      <c r="E108" s="276"/>
      <c r="F108" s="276"/>
      <c r="G108" s="277"/>
      <c r="H108" s="64" t="s">
        <v>122</v>
      </c>
      <c r="I108" s="62">
        <f>I98</f>
        <v>157.85</v>
      </c>
    </row>
    <row r="109" spans="1:9" ht="14.25" x14ac:dyDescent="0.2">
      <c r="A109" s="275"/>
      <c r="B109" s="276"/>
      <c r="C109" s="276"/>
      <c r="D109" s="276"/>
      <c r="E109" s="276"/>
      <c r="F109" s="276"/>
      <c r="G109" s="277"/>
      <c r="H109" s="64" t="s">
        <v>123</v>
      </c>
      <c r="I109" s="60">
        <f>I104</f>
        <v>142.38999999999999</v>
      </c>
    </row>
    <row r="110" spans="1:9" ht="14.25" x14ac:dyDescent="0.2">
      <c r="A110" s="278"/>
      <c r="B110" s="279"/>
      <c r="C110" s="279"/>
      <c r="D110" s="279"/>
      <c r="E110" s="279"/>
      <c r="F110" s="279"/>
      <c r="G110" s="280"/>
      <c r="H110" s="64" t="s">
        <v>26</v>
      </c>
      <c r="I110" s="63">
        <f>SUM(I105:I109)</f>
        <v>6066.08</v>
      </c>
    </row>
    <row r="111" spans="1:9" ht="24" customHeight="1" x14ac:dyDescent="0.2">
      <c r="A111" s="281" t="s">
        <v>68</v>
      </c>
      <c r="B111" s="281"/>
      <c r="C111" s="281"/>
      <c r="D111" s="281"/>
      <c r="E111" s="281"/>
      <c r="F111" s="281"/>
      <c r="G111" s="281"/>
      <c r="H111" s="281"/>
      <c r="I111" s="281"/>
    </row>
    <row r="112" spans="1:9" ht="28.5" x14ac:dyDescent="0.2">
      <c r="A112" s="88">
        <v>6</v>
      </c>
      <c r="B112" s="267" t="s">
        <v>69</v>
      </c>
      <c r="C112" s="268"/>
      <c r="D112" s="268"/>
      <c r="E112" s="268"/>
      <c r="F112" s="268"/>
      <c r="G112" s="269"/>
      <c r="H112" s="89" t="s">
        <v>18</v>
      </c>
      <c r="I112" s="90" t="s">
        <v>19</v>
      </c>
    </row>
    <row r="113" spans="1:9" ht="15" x14ac:dyDescent="0.2">
      <c r="A113" s="8" t="s">
        <v>1</v>
      </c>
      <c r="B113" s="254" t="s">
        <v>70</v>
      </c>
      <c r="C113" s="255"/>
      <c r="D113" s="255"/>
      <c r="E113" s="255"/>
      <c r="F113" s="255"/>
      <c r="G113" s="256"/>
      <c r="H113" s="85">
        <v>0.05</v>
      </c>
      <c r="I113" s="31">
        <f>SUM(H113*I130)</f>
        <v>303.3</v>
      </c>
    </row>
    <row r="114" spans="1:9" ht="15" x14ac:dyDescent="0.2">
      <c r="A114" s="8" t="s">
        <v>3</v>
      </c>
      <c r="B114" s="254" t="s">
        <v>71</v>
      </c>
      <c r="C114" s="255"/>
      <c r="D114" s="255"/>
      <c r="E114" s="255"/>
      <c r="F114" s="255"/>
      <c r="G114" s="256"/>
      <c r="H114" s="85">
        <v>0.05</v>
      </c>
      <c r="I114" s="31">
        <f>H114*(I130+I113)</f>
        <v>318.47000000000003</v>
      </c>
    </row>
    <row r="115" spans="1:9" ht="15" x14ac:dyDescent="0.2">
      <c r="A115" s="8" t="s">
        <v>5</v>
      </c>
      <c r="B115" s="254" t="s">
        <v>72</v>
      </c>
      <c r="C115" s="255"/>
      <c r="D115" s="255"/>
      <c r="E115" s="255"/>
      <c r="F115" s="255"/>
      <c r="G115" s="256"/>
      <c r="H115" s="26">
        <f>SUM(H117+H118+H119)</f>
        <v>0.13250000000000001</v>
      </c>
      <c r="I115" s="42">
        <f>SUM(I117:I119)</f>
        <v>1021.48</v>
      </c>
    </row>
    <row r="116" spans="1:9" ht="15" x14ac:dyDescent="0.2">
      <c r="A116" s="16"/>
      <c r="B116" s="254" t="s">
        <v>111</v>
      </c>
      <c r="C116" s="255"/>
      <c r="D116" s="255"/>
      <c r="E116" s="255"/>
      <c r="F116" s="255"/>
      <c r="G116" s="256"/>
      <c r="H116" s="5" t="s">
        <v>45</v>
      </c>
      <c r="I116" s="31" t="s">
        <v>45</v>
      </c>
    </row>
    <row r="117" spans="1:9" ht="12.75" customHeight="1" x14ac:dyDescent="0.2">
      <c r="A117" s="16"/>
      <c r="B117" s="181" t="s">
        <v>93</v>
      </c>
      <c r="C117" s="182"/>
      <c r="D117" s="182"/>
      <c r="E117" s="182"/>
      <c r="F117" s="182"/>
      <c r="G117" s="183"/>
      <c r="H117" s="84">
        <v>7.5999999999999998E-2</v>
      </c>
      <c r="I117" s="31">
        <f>SUM(H117*I132)</f>
        <v>585.91</v>
      </c>
    </row>
    <row r="118" spans="1:9" ht="12.75" customHeight="1" x14ac:dyDescent="0.2">
      <c r="A118" s="16"/>
      <c r="B118" s="181" t="s">
        <v>94</v>
      </c>
      <c r="C118" s="182"/>
      <c r="D118" s="182"/>
      <c r="E118" s="182"/>
      <c r="F118" s="182"/>
      <c r="G118" s="183"/>
      <c r="H118" s="84">
        <v>1.6500000000000001E-2</v>
      </c>
      <c r="I118" s="31">
        <f>SUM(H118*I132)</f>
        <v>127.2</v>
      </c>
    </row>
    <row r="119" spans="1:9" ht="12.75" customHeight="1" x14ac:dyDescent="0.2">
      <c r="A119" s="16"/>
      <c r="B119" s="181" t="s">
        <v>95</v>
      </c>
      <c r="C119" s="182"/>
      <c r="D119" s="182"/>
      <c r="E119" s="182"/>
      <c r="F119" s="182"/>
      <c r="G119" s="183"/>
      <c r="H119" s="84">
        <v>0.04</v>
      </c>
      <c r="I119" s="31">
        <f>SUM(H119*I132)</f>
        <v>308.37</v>
      </c>
    </row>
    <row r="120" spans="1:9" ht="14.25" x14ac:dyDescent="0.2">
      <c r="A120" s="257" t="s">
        <v>26</v>
      </c>
      <c r="B120" s="258"/>
      <c r="C120" s="258"/>
      <c r="D120" s="258"/>
      <c r="E120" s="258"/>
      <c r="F120" s="258"/>
      <c r="G120" s="258"/>
      <c r="H120" s="68"/>
      <c r="I120" s="33">
        <f>SUM(I113+I114+I117+I118+I119)</f>
        <v>1643.25</v>
      </c>
    </row>
    <row r="121" spans="1:9" ht="14.25" x14ac:dyDescent="0.2">
      <c r="A121" s="282"/>
      <c r="B121" s="283"/>
      <c r="C121" s="283"/>
      <c r="D121" s="283"/>
      <c r="E121" s="283"/>
      <c r="F121" s="283"/>
      <c r="G121" s="283"/>
      <c r="H121" s="283"/>
      <c r="I121" s="284"/>
    </row>
    <row r="122" spans="1:9" ht="15" x14ac:dyDescent="0.2">
      <c r="A122" s="285"/>
      <c r="B122" s="286"/>
      <c r="C122" s="286"/>
      <c r="D122" s="286"/>
      <c r="E122" s="286"/>
      <c r="F122" s="286"/>
      <c r="G122" s="286"/>
      <c r="H122" s="286"/>
      <c r="I122" s="286"/>
    </row>
    <row r="123" spans="1:9" ht="19.5" customHeight="1" x14ac:dyDescent="0.2">
      <c r="A123" s="287" t="s">
        <v>98</v>
      </c>
      <c r="B123" s="288"/>
      <c r="C123" s="288"/>
      <c r="D123" s="288"/>
      <c r="E123" s="288"/>
      <c r="F123" s="288"/>
      <c r="G123" s="288"/>
      <c r="H123" s="288"/>
      <c r="I123" s="289"/>
    </row>
    <row r="124" spans="1:9" ht="12.75" customHeight="1" x14ac:dyDescent="0.2">
      <c r="A124" s="208" t="s">
        <v>73</v>
      </c>
      <c r="B124" s="209"/>
      <c r="C124" s="209"/>
      <c r="D124" s="209"/>
      <c r="E124" s="209"/>
      <c r="F124" s="209"/>
      <c r="G124" s="209"/>
      <c r="H124" s="210"/>
      <c r="I124" s="92" t="s">
        <v>19</v>
      </c>
    </row>
    <row r="125" spans="1:9" ht="12.75" customHeight="1" x14ac:dyDescent="0.2">
      <c r="A125" s="17" t="s">
        <v>1</v>
      </c>
      <c r="B125" s="181" t="s">
        <v>74</v>
      </c>
      <c r="C125" s="182"/>
      <c r="D125" s="182"/>
      <c r="E125" s="182"/>
      <c r="F125" s="182"/>
      <c r="G125" s="182"/>
      <c r="H125" s="183"/>
      <c r="I125" s="35">
        <f>I29</f>
        <v>2737.02</v>
      </c>
    </row>
    <row r="126" spans="1:9" ht="12.75" customHeight="1" x14ac:dyDescent="0.2">
      <c r="A126" s="17" t="s">
        <v>3</v>
      </c>
      <c r="B126" s="181" t="s">
        <v>50</v>
      </c>
      <c r="C126" s="182"/>
      <c r="D126" s="182"/>
      <c r="E126" s="182"/>
      <c r="F126" s="182"/>
      <c r="G126" s="182"/>
      <c r="H126" s="183"/>
      <c r="I126" s="35">
        <f>I67</f>
        <v>2462.62</v>
      </c>
    </row>
    <row r="127" spans="1:9" ht="12.75" customHeight="1" x14ac:dyDescent="0.2">
      <c r="A127" s="17" t="s">
        <v>5</v>
      </c>
      <c r="B127" s="181" t="s">
        <v>75</v>
      </c>
      <c r="C127" s="182"/>
      <c r="D127" s="182"/>
      <c r="E127" s="182"/>
      <c r="F127" s="182"/>
      <c r="G127" s="182"/>
      <c r="H127" s="183"/>
      <c r="I127" s="35">
        <f>I77</f>
        <v>566.20000000000005</v>
      </c>
    </row>
    <row r="128" spans="1:9" ht="12.75" customHeight="1" x14ac:dyDescent="0.2">
      <c r="A128" s="17" t="s">
        <v>7</v>
      </c>
      <c r="B128" s="181" t="s">
        <v>63</v>
      </c>
      <c r="C128" s="182"/>
      <c r="D128" s="182"/>
      <c r="E128" s="182"/>
      <c r="F128" s="182"/>
      <c r="G128" s="182"/>
      <c r="H128" s="183"/>
      <c r="I128" s="35">
        <f>I98</f>
        <v>157.85</v>
      </c>
    </row>
    <row r="129" spans="1:9" ht="12.75" customHeight="1" x14ac:dyDescent="0.2">
      <c r="A129" s="17" t="s">
        <v>21</v>
      </c>
      <c r="B129" s="181" t="s">
        <v>76</v>
      </c>
      <c r="C129" s="182"/>
      <c r="D129" s="182"/>
      <c r="E129" s="182"/>
      <c r="F129" s="182"/>
      <c r="G129" s="182"/>
      <c r="H129" s="183"/>
      <c r="I129" s="35">
        <f>I104</f>
        <v>142.38999999999999</v>
      </c>
    </row>
    <row r="130" spans="1:9" ht="12.75" customHeight="1" x14ac:dyDescent="0.25">
      <c r="A130" s="306" t="s">
        <v>77</v>
      </c>
      <c r="B130" s="307"/>
      <c r="C130" s="307"/>
      <c r="D130" s="307"/>
      <c r="E130" s="307"/>
      <c r="F130" s="307"/>
      <c r="G130" s="307"/>
      <c r="H130" s="308"/>
      <c r="I130" s="47">
        <f>SUM(I125:I129)</f>
        <v>6066.08</v>
      </c>
    </row>
    <row r="131" spans="1:9" ht="12.75" customHeight="1" x14ac:dyDescent="0.2">
      <c r="A131" s="17" t="s">
        <v>23</v>
      </c>
      <c r="B131" s="181" t="s">
        <v>78</v>
      </c>
      <c r="C131" s="182"/>
      <c r="D131" s="182"/>
      <c r="E131" s="182"/>
      <c r="F131" s="182"/>
      <c r="G131" s="182"/>
      <c r="H131" s="183"/>
      <c r="I131" s="48">
        <f>I120</f>
        <v>1643.25</v>
      </c>
    </row>
    <row r="132" spans="1:9" ht="12.75" customHeight="1" x14ac:dyDescent="0.2">
      <c r="A132" s="309" t="s">
        <v>79</v>
      </c>
      <c r="B132" s="310"/>
      <c r="C132" s="310"/>
      <c r="D132" s="310"/>
      <c r="E132" s="310"/>
      <c r="F132" s="310"/>
      <c r="G132" s="310"/>
      <c r="H132" s="311"/>
      <c r="I132" s="49">
        <f>SUM(I130+I113+I114)/(1-H115)</f>
        <v>7709.34</v>
      </c>
    </row>
    <row r="133" spans="1:9" ht="12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9"/>
    </row>
    <row r="134" spans="1:9" ht="12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9"/>
    </row>
    <row r="135" spans="1:9" ht="15.75" customHeight="1" thickBot="1" x14ac:dyDescent="0.25">
      <c r="A135" s="312" t="s">
        <v>99</v>
      </c>
      <c r="B135" s="312"/>
      <c r="C135" s="312"/>
      <c r="D135" s="312"/>
      <c r="E135" s="312"/>
      <c r="F135" s="312"/>
      <c r="G135" s="312"/>
      <c r="H135" s="312"/>
      <c r="I135" s="312"/>
    </row>
    <row r="136" spans="1:9" ht="51.75" customHeight="1" thickBot="1" x14ac:dyDescent="0.25">
      <c r="A136" s="45" t="s">
        <v>100</v>
      </c>
      <c r="B136" s="65" t="s">
        <v>80</v>
      </c>
      <c r="C136" s="99" t="s">
        <v>101</v>
      </c>
      <c r="D136" s="313" t="s">
        <v>102</v>
      </c>
      <c r="E136" s="314"/>
      <c r="F136" s="315"/>
      <c r="G136" s="66" t="s">
        <v>81</v>
      </c>
      <c r="H136" s="316" t="s">
        <v>103</v>
      </c>
      <c r="I136" s="317"/>
    </row>
    <row r="137" spans="1:9" ht="86.25" customHeight="1" thickBot="1" x14ac:dyDescent="0.25">
      <c r="A137" s="46" t="s">
        <v>187</v>
      </c>
      <c r="B137" s="55">
        <f>I132</f>
        <v>7709.34</v>
      </c>
      <c r="C137" s="46">
        <v>1</v>
      </c>
      <c r="D137" s="293">
        <f>SUM(B137*C137)</f>
        <v>7709.34</v>
      </c>
      <c r="E137" s="294"/>
      <c r="F137" s="295"/>
      <c r="G137" s="67">
        <v>1</v>
      </c>
      <c r="H137" s="296">
        <f>SUM(D137*G137)</f>
        <v>7709.34</v>
      </c>
      <c r="I137" s="297"/>
    </row>
    <row r="138" spans="1:9" ht="15.75" thickBot="1" x14ac:dyDescent="0.3">
      <c r="A138" s="21"/>
      <c r="B138" s="22"/>
      <c r="C138" s="21"/>
      <c r="D138" s="22"/>
      <c r="E138" s="23"/>
      <c r="F138" s="24"/>
      <c r="G138" s="20"/>
      <c r="H138" s="20"/>
      <c r="I138" s="25"/>
    </row>
    <row r="139" spans="1:9" ht="15.75" customHeight="1" thickBot="1" x14ac:dyDescent="0.25">
      <c r="A139" s="298" t="s">
        <v>104</v>
      </c>
      <c r="B139" s="299"/>
      <c r="C139" s="299"/>
      <c r="D139" s="299"/>
      <c r="E139" s="299"/>
      <c r="F139" s="300"/>
      <c r="G139" s="50"/>
      <c r="H139" s="50"/>
      <c r="I139" s="50"/>
    </row>
    <row r="140" spans="1:9" ht="15.75" thickBot="1" x14ac:dyDescent="0.3">
      <c r="A140" s="43"/>
      <c r="B140" s="301" t="s">
        <v>105</v>
      </c>
      <c r="C140" s="302"/>
      <c r="D140" s="302"/>
      <c r="E140" s="303"/>
      <c r="F140" s="43" t="s">
        <v>106</v>
      </c>
      <c r="G140" s="20"/>
      <c r="H140" s="20"/>
      <c r="I140" s="25"/>
    </row>
    <row r="141" spans="1:9" ht="45.75" thickBot="1" x14ac:dyDescent="0.3">
      <c r="A141" s="44" t="s">
        <v>1</v>
      </c>
      <c r="B141" s="51" t="s">
        <v>107</v>
      </c>
      <c r="C141" s="52"/>
      <c r="D141" s="304" t="s">
        <v>108</v>
      </c>
      <c r="E141" s="305"/>
      <c r="F141" s="53">
        <f>H137</f>
        <v>7709.34</v>
      </c>
      <c r="G141" s="20"/>
      <c r="H141" s="20"/>
      <c r="I141" s="25"/>
    </row>
    <row r="142" spans="1:9" ht="26.25" customHeight="1" thickBot="1" x14ac:dyDescent="0.3">
      <c r="A142" s="44" t="s">
        <v>3</v>
      </c>
      <c r="B142" s="290" t="s">
        <v>109</v>
      </c>
      <c r="C142" s="291"/>
      <c r="D142" s="292"/>
      <c r="E142" s="54"/>
      <c r="F142" s="53">
        <f>H137</f>
        <v>7709.34</v>
      </c>
      <c r="G142" s="20"/>
      <c r="H142" s="20"/>
      <c r="I142" s="25"/>
    </row>
    <row r="143" spans="1:9" ht="69.75" customHeight="1" thickBot="1" x14ac:dyDescent="0.3">
      <c r="A143" s="44" t="s">
        <v>5</v>
      </c>
      <c r="B143" s="290" t="s">
        <v>171</v>
      </c>
      <c r="C143" s="291"/>
      <c r="D143" s="292"/>
      <c r="E143" s="54"/>
      <c r="F143" s="53">
        <f>F142*12</f>
        <v>92512.08</v>
      </c>
      <c r="G143" s="20"/>
      <c r="H143" s="20"/>
      <c r="I143" s="25"/>
    </row>
  </sheetData>
  <mergeCells count="141">
    <mergeCell ref="B7:G7"/>
    <mergeCell ref="H7:I7"/>
    <mergeCell ref="B8:G8"/>
    <mergeCell ref="H8:I8"/>
    <mergeCell ref="B9:G9"/>
    <mergeCell ref="H9:I9"/>
    <mergeCell ref="A1:I1"/>
    <mergeCell ref="A2:I2"/>
    <mergeCell ref="A3:I3"/>
    <mergeCell ref="A4:I4"/>
    <mergeCell ref="A5:I5"/>
    <mergeCell ref="A6:I6"/>
    <mergeCell ref="B15:G15"/>
    <mergeCell ref="H15:I15"/>
    <mergeCell ref="B16:G16"/>
    <mergeCell ref="H16:I16"/>
    <mergeCell ref="B17:G17"/>
    <mergeCell ref="H17:I17"/>
    <mergeCell ref="B10:G10"/>
    <mergeCell ref="H10:I10"/>
    <mergeCell ref="A11:I11"/>
    <mergeCell ref="A12:I12"/>
    <mergeCell ref="A13:I13"/>
    <mergeCell ref="A14:I14"/>
    <mergeCell ref="B22:G22"/>
    <mergeCell ref="B23:H23"/>
    <mergeCell ref="B24:G24"/>
    <mergeCell ref="B25:G25"/>
    <mergeCell ref="B26:G26"/>
    <mergeCell ref="B27:G27"/>
    <mergeCell ref="B18:G18"/>
    <mergeCell ref="H18:I18"/>
    <mergeCell ref="B19:G19"/>
    <mergeCell ref="H19:I19"/>
    <mergeCell ref="A20:I20"/>
    <mergeCell ref="A21:I21"/>
    <mergeCell ref="B34:G34"/>
    <mergeCell ref="A35:G35"/>
    <mergeCell ref="A36:G38"/>
    <mergeCell ref="A39:I39"/>
    <mergeCell ref="B40:G40"/>
    <mergeCell ref="B41:G41"/>
    <mergeCell ref="B28:G28"/>
    <mergeCell ref="A29:H29"/>
    <mergeCell ref="A30:I30"/>
    <mergeCell ref="A31:I31"/>
    <mergeCell ref="B32:G32"/>
    <mergeCell ref="B33:G33"/>
    <mergeCell ref="B48:G48"/>
    <mergeCell ref="A49:G49"/>
    <mergeCell ref="A50:I50"/>
    <mergeCell ref="B51:H51"/>
    <mergeCell ref="B52:H52"/>
    <mergeCell ref="B53:G53"/>
    <mergeCell ref="B42:G42"/>
    <mergeCell ref="B43:G43"/>
    <mergeCell ref="B44:G44"/>
    <mergeCell ref="B45:G45"/>
    <mergeCell ref="B46:G46"/>
    <mergeCell ref="B47:G47"/>
    <mergeCell ref="B60:G60"/>
    <mergeCell ref="B61:H61"/>
    <mergeCell ref="A62:I62"/>
    <mergeCell ref="B63:H63"/>
    <mergeCell ref="B64:H64"/>
    <mergeCell ref="B65:H65"/>
    <mergeCell ref="B54:G54"/>
    <mergeCell ref="B55:G55"/>
    <mergeCell ref="B56:G56"/>
    <mergeCell ref="B57:G57"/>
    <mergeCell ref="B58:G58"/>
    <mergeCell ref="B59:G59"/>
    <mergeCell ref="B72:G72"/>
    <mergeCell ref="B73:G73"/>
    <mergeCell ref="B74:G74"/>
    <mergeCell ref="B75:G75"/>
    <mergeCell ref="B76:G76"/>
    <mergeCell ref="A77:H77"/>
    <mergeCell ref="B66:H66"/>
    <mergeCell ref="A67:H67"/>
    <mergeCell ref="A68:I68"/>
    <mergeCell ref="A69:I69"/>
    <mergeCell ref="B70:G70"/>
    <mergeCell ref="B71:G71"/>
    <mergeCell ref="B87:G87"/>
    <mergeCell ref="B88:G88"/>
    <mergeCell ref="B89:G89"/>
    <mergeCell ref="A90:H90"/>
    <mergeCell ref="B91:H91"/>
    <mergeCell ref="B92:G92"/>
    <mergeCell ref="A78:G81"/>
    <mergeCell ref="A82:I82"/>
    <mergeCell ref="B83:G83"/>
    <mergeCell ref="B84:G84"/>
    <mergeCell ref="B85:G85"/>
    <mergeCell ref="B86:G86"/>
    <mergeCell ref="A99:I99"/>
    <mergeCell ref="A100:I100"/>
    <mergeCell ref="B101:H101"/>
    <mergeCell ref="B102:H102"/>
    <mergeCell ref="B103:H103"/>
    <mergeCell ref="A93:H93"/>
    <mergeCell ref="A94:I94"/>
    <mergeCell ref="B95:H95"/>
    <mergeCell ref="B96:G96"/>
    <mergeCell ref="B97:G97"/>
    <mergeCell ref="A98:H98"/>
    <mergeCell ref="B114:G114"/>
    <mergeCell ref="B115:G115"/>
    <mergeCell ref="B116:G116"/>
    <mergeCell ref="B117:G117"/>
    <mergeCell ref="B118:G118"/>
    <mergeCell ref="B119:G119"/>
    <mergeCell ref="A104:H104"/>
    <mergeCell ref="A105:G110"/>
    <mergeCell ref="A111:I111"/>
    <mergeCell ref="B112:G112"/>
    <mergeCell ref="B113:G113"/>
    <mergeCell ref="B126:H126"/>
    <mergeCell ref="B127:H127"/>
    <mergeCell ref="B128:H128"/>
    <mergeCell ref="B129:H129"/>
    <mergeCell ref="A130:H130"/>
    <mergeCell ref="B131:H131"/>
    <mergeCell ref="A120:G120"/>
    <mergeCell ref="A121:I121"/>
    <mergeCell ref="A122:I122"/>
    <mergeCell ref="A123:I123"/>
    <mergeCell ref="A124:H124"/>
    <mergeCell ref="B125:H125"/>
    <mergeCell ref="A139:F139"/>
    <mergeCell ref="B140:E140"/>
    <mergeCell ref="D141:E141"/>
    <mergeCell ref="B142:D142"/>
    <mergeCell ref="B143:D143"/>
    <mergeCell ref="A132:H132"/>
    <mergeCell ref="A135:I135"/>
    <mergeCell ref="D136:F136"/>
    <mergeCell ref="H136:I136"/>
    <mergeCell ref="D137:F137"/>
    <mergeCell ref="H137:I137"/>
  </mergeCells>
  <pageMargins left="0.511811024" right="0.511811024" top="0.78740157499999996" bottom="0.78740157499999996" header="0.31496062000000002" footer="0.31496062000000002"/>
  <pageSetup paperSize="9" scale="65" orientation="portrait" r:id="rId1"/>
  <rowBreaks count="2" manualBreakCount="2">
    <brk id="49" max="8" man="1"/>
    <brk id="110" max="8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3"/>
  <sheetViews>
    <sheetView topLeftCell="A76" zoomScale="98" zoomScaleNormal="98" zoomScaleSheetLayoutView="100" workbookViewId="0">
      <selection activeCell="A93" sqref="A93:H93"/>
    </sheetView>
  </sheetViews>
  <sheetFormatPr defaultColWidth="12.28515625" defaultRowHeight="12.75" x14ac:dyDescent="0.2"/>
  <cols>
    <col min="1" max="1" width="13.7109375" customWidth="1"/>
    <col min="2" max="2" width="13.7109375" bestFit="1" customWidth="1"/>
    <col min="3" max="3" width="14" customWidth="1"/>
    <col min="4" max="4" width="14.7109375" customWidth="1"/>
    <col min="5" max="5" width="12.42578125" bestFit="1" customWidth="1"/>
    <col min="6" max="6" width="14.5703125" customWidth="1"/>
    <col min="8" max="8" width="14.5703125" customWidth="1"/>
    <col min="9" max="9" width="23.85546875" style="124" customWidth="1"/>
  </cols>
  <sheetData>
    <row r="1" spans="1:9" ht="61.5" customHeight="1" x14ac:dyDescent="0.2">
      <c r="A1" s="318" t="s">
        <v>124</v>
      </c>
      <c r="B1" s="189"/>
      <c r="C1" s="189"/>
      <c r="D1" s="189"/>
      <c r="E1" s="189"/>
      <c r="F1" s="189"/>
      <c r="G1" s="189"/>
      <c r="H1" s="189"/>
      <c r="I1" s="189"/>
    </row>
    <row r="2" spans="1:9" ht="12.75" customHeight="1" x14ac:dyDescent="0.2">
      <c r="A2" s="190" t="s">
        <v>185</v>
      </c>
      <c r="B2" s="190"/>
      <c r="C2" s="190"/>
      <c r="D2" s="190"/>
      <c r="E2" s="190"/>
      <c r="F2" s="190"/>
      <c r="G2" s="190"/>
      <c r="H2" s="190"/>
      <c r="I2" s="190"/>
    </row>
    <row r="3" spans="1:9" ht="12.75" customHeight="1" x14ac:dyDescent="0.2">
      <c r="A3" s="190" t="s">
        <v>193</v>
      </c>
      <c r="B3" s="190"/>
      <c r="C3" s="190"/>
      <c r="D3" s="190"/>
      <c r="E3" s="190"/>
      <c r="F3" s="190"/>
      <c r="G3" s="190"/>
      <c r="H3" s="190"/>
      <c r="I3" s="190"/>
    </row>
    <row r="4" spans="1:9" ht="12.75" customHeight="1" x14ac:dyDescent="0.2">
      <c r="A4" s="190" t="s">
        <v>194</v>
      </c>
      <c r="B4" s="191"/>
      <c r="C4" s="191"/>
      <c r="D4" s="191"/>
      <c r="E4" s="191"/>
      <c r="F4" s="191"/>
      <c r="G4" s="191"/>
      <c r="H4" s="191"/>
      <c r="I4" s="191"/>
    </row>
    <row r="5" spans="1:9" ht="12.75" customHeight="1" x14ac:dyDescent="0.2">
      <c r="A5" s="192"/>
      <c r="B5" s="192"/>
      <c r="C5" s="192"/>
      <c r="D5" s="192"/>
      <c r="E5" s="192"/>
      <c r="F5" s="192"/>
      <c r="G5" s="192"/>
      <c r="H5" s="192"/>
      <c r="I5" s="192"/>
    </row>
    <row r="6" spans="1:9" ht="21" customHeight="1" x14ac:dyDescent="0.2">
      <c r="A6" s="193" t="s">
        <v>0</v>
      </c>
      <c r="B6" s="194"/>
      <c r="C6" s="194"/>
      <c r="D6" s="194"/>
      <c r="E6" s="194"/>
      <c r="F6" s="194"/>
      <c r="G6" s="194"/>
      <c r="H6" s="194"/>
      <c r="I6" s="195"/>
    </row>
    <row r="7" spans="1:9" ht="12.75" customHeight="1" x14ac:dyDescent="0.2">
      <c r="A7" s="2" t="s">
        <v>1</v>
      </c>
      <c r="B7" s="176" t="s">
        <v>2</v>
      </c>
      <c r="C7" s="177"/>
      <c r="D7" s="177"/>
      <c r="E7" s="177"/>
      <c r="F7" s="177"/>
      <c r="G7" s="178"/>
      <c r="H7" s="179" t="s">
        <v>192</v>
      </c>
      <c r="I7" s="180"/>
    </row>
    <row r="8" spans="1:9" ht="12.75" customHeight="1" x14ac:dyDescent="0.2">
      <c r="A8" s="3" t="s">
        <v>3</v>
      </c>
      <c r="B8" s="181" t="s">
        <v>4</v>
      </c>
      <c r="C8" s="182"/>
      <c r="D8" s="182"/>
      <c r="E8" s="182"/>
      <c r="F8" s="182"/>
      <c r="G8" s="183"/>
      <c r="H8" s="184" t="str">
        <f>'12X36 DIURNO '!H8:I8</f>
        <v>RIO GRANDE RS</v>
      </c>
      <c r="I8" s="185"/>
    </row>
    <row r="9" spans="1:9" ht="12.75" customHeight="1" x14ac:dyDescent="0.2">
      <c r="A9" s="3" t="s">
        <v>5</v>
      </c>
      <c r="B9" s="181" t="s">
        <v>6</v>
      </c>
      <c r="C9" s="182"/>
      <c r="D9" s="182"/>
      <c r="E9" s="182"/>
      <c r="F9" s="182"/>
      <c r="G9" s="183"/>
      <c r="H9" s="186" t="str">
        <f>'12X36 DIURNO '!H9:I9</f>
        <v>RS000837/2025</v>
      </c>
      <c r="I9" s="187"/>
    </row>
    <row r="10" spans="1:9" ht="12.75" customHeight="1" x14ac:dyDescent="0.2">
      <c r="A10" s="3" t="s">
        <v>7</v>
      </c>
      <c r="B10" s="181" t="s">
        <v>8</v>
      </c>
      <c r="C10" s="182"/>
      <c r="D10" s="182"/>
      <c r="E10" s="182"/>
      <c r="F10" s="182"/>
      <c r="G10" s="183"/>
      <c r="H10" s="184">
        <v>12</v>
      </c>
      <c r="I10" s="185"/>
    </row>
    <row r="11" spans="1:9" ht="12.75" customHeight="1" x14ac:dyDescent="0.2">
      <c r="A11" s="181" t="s">
        <v>9</v>
      </c>
      <c r="B11" s="182"/>
      <c r="C11" s="182"/>
      <c r="D11" s="182"/>
      <c r="E11" s="182"/>
      <c r="F11" s="182"/>
      <c r="G11" s="182"/>
      <c r="H11" s="182"/>
      <c r="I11" s="183"/>
    </row>
    <row r="12" spans="1:9" ht="14.25" x14ac:dyDescent="0.2">
      <c r="A12" s="202"/>
      <c r="B12" s="203"/>
      <c r="C12" s="203"/>
      <c r="D12" s="203"/>
      <c r="E12" s="203"/>
      <c r="F12" s="203"/>
      <c r="G12" s="203"/>
      <c r="H12" s="203"/>
      <c r="I12" s="204"/>
    </row>
    <row r="13" spans="1:9" ht="21.75" customHeight="1" x14ac:dyDescent="0.2">
      <c r="A13" s="205" t="s">
        <v>90</v>
      </c>
      <c r="B13" s="206"/>
      <c r="C13" s="206"/>
      <c r="D13" s="206"/>
      <c r="E13" s="206"/>
      <c r="F13" s="206"/>
      <c r="G13" s="206"/>
      <c r="H13" s="206"/>
      <c r="I13" s="207"/>
    </row>
    <row r="14" spans="1:9" ht="12.75" customHeight="1" x14ac:dyDescent="0.2">
      <c r="A14" s="208" t="s">
        <v>10</v>
      </c>
      <c r="B14" s="209"/>
      <c r="C14" s="209"/>
      <c r="D14" s="209"/>
      <c r="E14" s="209"/>
      <c r="F14" s="209"/>
      <c r="G14" s="209"/>
      <c r="H14" s="209"/>
      <c r="I14" s="210"/>
    </row>
    <row r="15" spans="1:9" ht="27" customHeight="1" x14ac:dyDescent="0.2">
      <c r="A15" s="3">
        <v>1</v>
      </c>
      <c r="B15" s="181" t="s">
        <v>11</v>
      </c>
      <c r="C15" s="182"/>
      <c r="D15" s="182"/>
      <c r="E15" s="182"/>
      <c r="F15" s="182"/>
      <c r="G15" s="183"/>
      <c r="H15" s="196" t="s">
        <v>186</v>
      </c>
      <c r="I15" s="197"/>
    </row>
    <row r="16" spans="1:9" ht="12.75" customHeight="1" x14ac:dyDescent="0.2">
      <c r="A16" s="3">
        <v>2</v>
      </c>
      <c r="B16" s="181" t="s">
        <v>12</v>
      </c>
      <c r="C16" s="182"/>
      <c r="D16" s="182"/>
      <c r="E16" s="182"/>
      <c r="F16" s="182"/>
      <c r="G16" s="183"/>
      <c r="H16" s="198" t="s">
        <v>153</v>
      </c>
      <c r="I16" s="199"/>
    </row>
    <row r="17" spans="1:9" ht="12.75" customHeight="1" x14ac:dyDescent="0.2">
      <c r="A17" s="3">
        <v>3</v>
      </c>
      <c r="B17" s="181" t="s">
        <v>13</v>
      </c>
      <c r="C17" s="182"/>
      <c r="D17" s="182"/>
      <c r="E17" s="182"/>
      <c r="F17" s="182"/>
      <c r="G17" s="183"/>
      <c r="H17" s="200">
        <v>2105.4</v>
      </c>
      <c r="I17" s="201"/>
    </row>
    <row r="18" spans="1:9" ht="15" customHeight="1" x14ac:dyDescent="0.2">
      <c r="A18" s="3">
        <v>4</v>
      </c>
      <c r="B18" s="181" t="s">
        <v>14</v>
      </c>
      <c r="C18" s="182"/>
      <c r="D18" s="182"/>
      <c r="E18" s="182"/>
      <c r="F18" s="182"/>
      <c r="G18" s="183"/>
      <c r="H18" s="218" t="str">
        <f>'12X36 NOTURNO'!H18:I18</f>
        <v xml:space="preserve"> VIGILANTE</v>
      </c>
      <c r="I18" s="219"/>
    </row>
    <row r="19" spans="1:9" ht="12.75" customHeight="1" x14ac:dyDescent="0.25">
      <c r="A19" s="4">
        <v>5</v>
      </c>
      <c r="B19" s="181" t="s">
        <v>15</v>
      </c>
      <c r="C19" s="182"/>
      <c r="D19" s="182"/>
      <c r="E19" s="182"/>
      <c r="F19" s="182"/>
      <c r="G19" s="183"/>
      <c r="H19" s="220" t="s">
        <v>184</v>
      </c>
      <c r="I19" s="221"/>
    </row>
    <row r="20" spans="1:9" ht="15" x14ac:dyDescent="0.2">
      <c r="A20" s="222"/>
      <c r="B20" s="223"/>
      <c r="C20" s="223"/>
      <c r="D20" s="223"/>
      <c r="E20" s="223"/>
      <c r="F20" s="223"/>
      <c r="G20" s="223"/>
      <c r="H20" s="223"/>
      <c r="I20" s="224"/>
    </row>
    <row r="21" spans="1:9" ht="23.25" customHeight="1" x14ac:dyDescent="0.2">
      <c r="A21" s="205" t="s">
        <v>16</v>
      </c>
      <c r="B21" s="206"/>
      <c r="C21" s="206"/>
      <c r="D21" s="206"/>
      <c r="E21" s="206"/>
      <c r="F21" s="206"/>
      <c r="G21" s="206"/>
      <c r="H21" s="206"/>
      <c r="I21" s="207"/>
    </row>
    <row r="22" spans="1:9" ht="12.75" customHeight="1" x14ac:dyDescent="0.2">
      <c r="A22" s="86">
        <v>1</v>
      </c>
      <c r="B22" s="208" t="s">
        <v>17</v>
      </c>
      <c r="C22" s="209"/>
      <c r="D22" s="209"/>
      <c r="E22" s="209"/>
      <c r="F22" s="209"/>
      <c r="G22" s="210"/>
      <c r="H22" s="86" t="s">
        <v>18</v>
      </c>
      <c r="I22" s="123" t="s">
        <v>19</v>
      </c>
    </row>
    <row r="23" spans="1:9" ht="12.75" customHeight="1" x14ac:dyDescent="0.2">
      <c r="A23" s="3" t="s">
        <v>1</v>
      </c>
      <c r="B23" s="181" t="s">
        <v>157</v>
      </c>
      <c r="C23" s="182"/>
      <c r="D23" s="182"/>
      <c r="E23" s="182"/>
      <c r="F23" s="182"/>
      <c r="G23" s="182"/>
      <c r="H23" s="183"/>
      <c r="I23" s="151">
        <f>H17</f>
        <v>2105.4</v>
      </c>
    </row>
    <row r="24" spans="1:9" ht="12.75" customHeight="1" x14ac:dyDescent="0.2">
      <c r="A24" s="3" t="s">
        <v>3</v>
      </c>
      <c r="B24" s="211" t="s">
        <v>86</v>
      </c>
      <c r="C24" s="212"/>
      <c r="D24" s="212"/>
      <c r="E24" s="212"/>
      <c r="F24" s="212"/>
      <c r="G24" s="213"/>
      <c r="H24" s="5">
        <v>0.3</v>
      </c>
      <c r="I24" s="151">
        <f>I23*30%</f>
        <v>631.62</v>
      </c>
    </row>
    <row r="25" spans="1:9" ht="12.75" customHeight="1" x14ac:dyDescent="0.2">
      <c r="A25" s="3" t="s">
        <v>5</v>
      </c>
      <c r="B25" s="214" t="s">
        <v>87</v>
      </c>
      <c r="C25" s="215"/>
      <c r="D25" s="215"/>
      <c r="E25" s="215"/>
      <c r="F25" s="215"/>
      <c r="G25" s="216"/>
      <c r="I25" s="150"/>
    </row>
    <row r="26" spans="1:9" ht="12.75" customHeight="1" x14ac:dyDescent="0.2">
      <c r="A26" s="3" t="s">
        <v>7</v>
      </c>
      <c r="B26" s="217" t="s">
        <v>20</v>
      </c>
      <c r="C26" s="217"/>
      <c r="D26" s="217"/>
      <c r="E26" s="217"/>
      <c r="F26" s="217"/>
      <c r="G26" s="217"/>
      <c r="H26" s="3"/>
      <c r="I26" s="151"/>
    </row>
    <row r="27" spans="1:9" ht="12.75" customHeight="1" x14ac:dyDescent="0.2">
      <c r="A27" s="3" t="s">
        <v>21</v>
      </c>
      <c r="B27" s="217" t="s">
        <v>22</v>
      </c>
      <c r="C27" s="217"/>
      <c r="D27" s="217"/>
      <c r="E27" s="217"/>
      <c r="F27" s="217"/>
      <c r="G27" s="217"/>
      <c r="H27" s="6"/>
      <c r="I27" s="151"/>
    </row>
    <row r="28" spans="1:9" ht="12.75" customHeight="1" x14ac:dyDescent="0.25">
      <c r="A28" s="7" t="s">
        <v>23</v>
      </c>
      <c r="B28" s="217" t="s">
        <v>188</v>
      </c>
      <c r="C28" s="217"/>
      <c r="D28" s="217"/>
      <c r="E28" s="217"/>
      <c r="F28" s="217"/>
      <c r="G28" s="217"/>
      <c r="H28" s="27">
        <v>0.4</v>
      </c>
      <c r="I28" s="151">
        <f>H28*I23</f>
        <v>842.16</v>
      </c>
    </row>
    <row r="29" spans="1:9" ht="12.75" customHeight="1" x14ac:dyDescent="0.2">
      <c r="A29" s="240" t="s">
        <v>26</v>
      </c>
      <c r="B29" s="241"/>
      <c r="C29" s="241"/>
      <c r="D29" s="241"/>
      <c r="E29" s="241"/>
      <c r="F29" s="241"/>
      <c r="G29" s="241"/>
      <c r="H29" s="242"/>
      <c r="I29" s="153">
        <f>SUM(I23:I28)</f>
        <v>3579.18</v>
      </c>
    </row>
    <row r="30" spans="1:9" ht="14.25" x14ac:dyDescent="0.2">
      <c r="A30" s="202"/>
      <c r="B30" s="203"/>
      <c r="C30" s="203"/>
      <c r="D30" s="203"/>
      <c r="E30" s="203"/>
      <c r="F30" s="203"/>
      <c r="G30" s="203"/>
      <c r="H30" s="203"/>
      <c r="I30" s="204"/>
    </row>
    <row r="31" spans="1:9" ht="23.25" customHeight="1" x14ac:dyDescent="0.2">
      <c r="A31" s="243" t="s">
        <v>27</v>
      </c>
      <c r="B31" s="244"/>
      <c r="C31" s="244"/>
      <c r="D31" s="244"/>
      <c r="E31" s="244"/>
      <c r="F31" s="244"/>
      <c r="G31" s="244"/>
      <c r="H31" s="244"/>
      <c r="I31" s="245"/>
    </row>
    <row r="32" spans="1:9" ht="18" customHeight="1" x14ac:dyDescent="0.2">
      <c r="A32" s="88" t="s">
        <v>28</v>
      </c>
      <c r="B32" s="193" t="s">
        <v>29</v>
      </c>
      <c r="C32" s="194"/>
      <c r="D32" s="194"/>
      <c r="E32" s="194"/>
      <c r="F32" s="194"/>
      <c r="G32" s="194"/>
      <c r="H32" s="89" t="s">
        <v>96</v>
      </c>
      <c r="I32" s="125" t="s">
        <v>19</v>
      </c>
    </row>
    <row r="33" spans="1:9" ht="30" customHeight="1" x14ac:dyDescent="0.2">
      <c r="A33" s="8" t="s">
        <v>1</v>
      </c>
      <c r="B33" s="181" t="s">
        <v>88</v>
      </c>
      <c r="C33" s="182"/>
      <c r="D33" s="182"/>
      <c r="E33" s="182"/>
      <c r="F33" s="182"/>
      <c r="G33" s="183"/>
      <c r="H33" s="32">
        <v>8.3333333333333329E-2</v>
      </c>
      <c r="I33" s="152">
        <f>I29*8.33%</f>
        <v>298.14999999999998</v>
      </c>
    </row>
    <row r="34" spans="1:9" ht="27" customHeight="1" x14ac:dyDescent="0.2">
      <c r="A34" s="8" t="s">
        <v>3</v>
      </c>
      <c r="B34" s="181" t="s">
        <v>89</v>
      </c>
      <c r="C34" s="182"/>
      <c r="D34" s="182"/>
      <c r="E34" s="182"/>
      <c r="F34" s="182"/>
      <c r="G34" s="183"/>
      <c r="H34" s="32">
        <v>0.121</v>
      </c>
      <c r="I34" s="151">
        <f>TRUNC(I29*H34,2)</f>
        <v>433.08</v>
      </c>
    </row>
    <row r="35" spans="1:9" ht="14.25" x14ac:dyDescent="0.2">
      <c r="A35" s="225" t="s">
        <v>26</v>
      </c>
      <c r="B35" s="226"/>
      <c r="C35" s="226"/>
      <c r="D35" s="226"/>
      <c r="E35" s="226"/>
      <c r="F35" s="226"/>
      <c r="G35" s="227"/>
      <c r="H35" s="29">
        <f>SUM(H33:H34)</f>
        <v>0.20430000000000001</v>
      </c>
      <c r="I35" s="151">
        <f>SUM(I33:I34)</f>
        <v>731.23</v>
      </c>
    </row>
    <row r="36" spans="1:9" ht="14.25" x14ac:dyDescent="0.2">
      <c r="A36" s="228" t="s">
        <v>113</v>
      </c>
      <c r="B36" s="229"/>
      <c r="C36" s="229"/>
      <c r="D36" s="229"/>
      <c r="E36" s="229"/>
      <c r="F36" s="229"/>
      <c r="G36" s="230"/>
      <c r="H36" s="56" t="s">
        <v>114</v>
      </c>
      <c r="I36" s="152">
        <f>I29</f>
        <v>3579.18</v>
      </c>
    </row>
    <row r="37" spans="1:9" ht="14.25" x14ac:dyDescent="0.2">
      <c r="A37" s="231"/>
      <c r="B37" s="232"/>
      <c r="C37" s="232"/>
      <c r="D37" s="232"/>
      <c r="E37" s="232"/>
      <c r="F37" s="232"/>
      <c r="G37" s="233"/>
      <c r="H37" s="56" t="s">
        <v>115</v>
      </c>
      <c r="I37" s="152">
        <f>I35</f>
        <v>731.23</v>
      </c>
    </row>
    <row r="38" spans="1:9" ht="14.25" x14ac:dyDescent="0.2">
      <c r="A38" s="234"/>
      <c r="B38" s="235"/>
      <c r="C38" s="235"/>
      <c r="D38" s="235"/>
      <c r="E38" s="235"/>
      <c r="F38" s="235"/>
      <c r="G38" s="236"/>
      <c r="H38" s="56" t="s">
        <v>26</v>
      </c>
      <c r="I38" s="152">
        <f>SUM(I36:I37)</f>
        <v>4310.41</v>
      </c>
    </row>
    <row r="39" spans="1:9" ht="33" customHeight="1" x14ac:dyDescent="0.2">
      <c r="A39" s="237" t="s">
        <v>195</v>
      </c>
      <c r="B39" s="238"/>
      <c r="C39" s="238"/>
      <c r="D39" s="238"/>
      <c r="E39" s="238"/>
      <c r="F39" s="238"/>
      <c r="G39" s="238"/>
      <c r="H39" s="238"/>
      <c r="I39" s="239"/>
    </row>
    <row r="40" spans="1:9" ht="19.5" customHeight="1" x14ac:dyDescent="0.2">
      <c r="A40" s="91" t="s">
        <v>31</v>
      </c>
      <c r="B40" s="208" t="s">
        <v>32</v>
      </c>
      <c r="C40" s="209"/>
      <c r="D40" s="209"/>
      <c r="E40" s="209"/>
      <c r="F40" s="209"/>
      <c r="G40" s="210"/>
      <c r="H40" s="89" t="s">
        <v>96</v>
      </c>
      <c r="I40" s="127" t="s">
        <v>19</v>
      </c>
    </row>
    <row r="41" spans="1:9" ht="12.75" customHeight="1" x14ac:dyDescent="0.2">
      <c r="A41" s="9" t="s">
        <v>1</v>
      </c>
      <c r="B41" s="181" t="s">
        <v>33</v>
      </c>
      <c r="C41" s="182"/>
      <c r="D41" s="182"/>
      <c r="E41" s="182"/>
      <c r="F41" s="182"/>
      <c r="G41" s="183"/>
      <c r="H41" s="5">
        <v>0.2</v>
      </c>
      <c r="I41" s="40">
        <f>TRUNC(I38*H41,2)</f>
        <v>862.08</v>
      </c>
    </row>
    <row r="42" spans="1:9" ht="12.75" customHeight="1" x14ac:dyDescent="0.2">
      <c r="A42" s="9" t="s">
        <v>3</v>
      </c>
      <c r="B42" s="181" t="s">
        <v>34</v>
      </c>
      <c r="C42" s="182"/>
      <c r="D42" s="182"/>
      <c r="E42" s="182"/>
      <c r="F42" s="182"/>
      <c r="G42" s="183"/>
      <c r="H42" s="5">
        <v>2.5000000000000001E-2</v>
      </c>
      <c r="I42" s="40">
        <f>TRUNC(I38*H42,2)</f>
        <v>107.76</v>
      </c>
    </row>
    <row r="43" spans="1:9" ht="17.25" customHeight="1" x14ac:dyDescent="0.2">
      <c r="A43" s="9" t="s">
        <v>5</v>
      </c>
      <c r="B43" s="181" t="s">
        <v>112</v>
      </c>
      <c r="C43" s="182"/>
      <c r="D43" s="182"/>
      <c r="E43" s="182"/>
      <c r="F43" s="182"/>
      <c r="G43" s="183"/>
      <c r="H43" s="104">
        <v>0.03</v>
      </c>
      <c r="I43" s="40">
        <f>TRUNC(I38*H43,2)</f>
        <v>129.31</v>
      </c>
    </row>
    <row r="44" spans="1:9" ht="12.75" customHeight="1" x14ac:dyDescent="0.2">
      <c r="A44" s="9" t="s">
        <v>7</v>
      </c>
      <c r="B44" s="181" t="s">
        <v>35</v>
      </c>
      <c r="C44" s="182"/>
      <c r="D44" s="182"/>
      <c r="E44" s="182"/>
      <c r="F44" s="182"/>
      <c r="G44" s="183"/>
      <c r="H44" s="5">
        <v>1.4999999999999999E-2</v>
      </c>
      <c r="I44" s="40">
        <f>I38*1.5%</f>
        <v>64.66</v>
      </c>
    </row>
    <row r="45" spans="1:9" ht="12.75" customHeight="1" x14ac:dyDescent="0.2">
      <c r="A45" s="9" t="s">
        <v>21</v>
      </c>
      <c r="B45" s="181" t="s">
        <v>36</v>
      </c>
      <c r="C45" s="182"/>
      <c r="D45" s="182"/>
      <c r="E45" s="182"/>
      <c r="F45" s="182"/>
      <c r="G45" s="183"/>
      <c r="H45" s="5">
        <v>0.01</v>
      </c>
      <c r="I45" s="40" t="s">
        <v>196</v>
      </c>
    </row>
    <row r="46" spans="1:9" ht="12.75" customHeight="1" x14ac:dyDescent="0.2">
      <c r="A46" s="9" t="s">
        <v>23</v>
      </c>
      <c r="B46" s="181" t="s">
        <v>37</v>
      </c>
      <c r="C46" s="182"/>
      <c r="D46" s="182"/>
      <c r="E46" s="182"/>
      <c r="F46" s="182"/>
      <c r="G46" s="183"/>
      <c r="H46" s="5">
        <v>6.0000000000000001E-3</v>
      </c>
      <c r="I46" s="40">
        <f>TRUNC(I38*H46,2)</f>
        <v>25.86</v>
      </c>
    </row>
    <row r="47" spans="1:9" ht="12.75" customHeight="1" x14ac:dyDescent="0.2">
      <c r="A47" s="9" t="s">
        <v>24</v>
      </c>
      <c r="B47" s="181" t="s">
        <v>38</v>
      </c>
      <c r="C47" s="182"/>
      <c r="D47" s="182"/>
      <c r="E47" s="182"/>
      <c r="F47" s="182"/>
      <c r="G47" s="183"/>
      <c r="H47" s="5">
        <v>2E-3</v>
      </c>
      <c r="I47" s="40">
        <f>TRUNC(I38*H47,2)</f>
        <v>8.6199999999999992</v>
      </c>
    </row>
    <row r="48" spans="1:9" ht="12.75" customHeight="1" x14ac:dyDescent="0.2">
      <c r="A48" s="10" t="s">
        <v>39</v>
      </c>
      <c r="B48" s="181" t="s">
        <v>40</v>
      </c>
      <c r="C48" s="182"/>
      <c r="D48" s="182"/>
      <c r="E48" s="182"/>
      <c r="F48" s="182"/>
      <c r="G48" s="183"/>
      <c r="H48" s="103">
        <v>0.08</v>
      </c>
      <c r="I48" s="40">
        <f>SUM(I38*H48)</f>
        <v>344.83</v>
      </c>
    </row>
    <row r="49" spans="1:12" ht="18.75" customHeight="1" x14ac:dyDescent="0.2">
      <c r="A49" s="246" t="s">
        <v>30</v>
      </c>
      <c r="B49" s="247"/>
      <c r="C49" s="247"/>
      <c r="D49" s="247"/>
      <c r="E49" s="247"/>
      <c r="F49" s="247"/>
      <c r="G49" s="248"/>
      <c r="H49" s="34">
        <f>SUM(H41:H48)</f>
        <v>0.36799999999999999</v>
      </c>
      <c r="I49" s="126">
        <f>SUM(I41:I48)</f>
        <v>1543.12</v>
      </c>
    </row>
    <row r="50" spans="1:12" ht="33" customHeight="1" x14ac:dyDescent="0.2">
      <c r="A50" s="249" t="s">
        <v>117</v>
      </c>
      <c r="B50" s="250"/>
      <c r="C50" s="250"/>
      <c r="D50" s="250"/>
      <c r="E50" s="250"/>
      <c r="F50" s="250"/>
      <c r="G50" s="250"/>
      <c r="H50" s="250"/>
      <c r="I50" s="250"/>
    </row>
    <row r="51" spans="1:12" ht="17.25" customHeight="1" x14ac:dyDescent="0.2">
      <c r="A51" s="93" t="s">
        <v>41</v>
      </c>
      <c r="B51" s="251" t="s">
        <v>42</v>
      </c>
      <c r="C51" s="252"/>
      <c r="D51" s="252"/>
      <c r="E51" s="252"/>
      <c r="F51" s="252"/>
      <c r="G51" s="252"/>
      <c r="H51" s="253"/>
      <c r="I51" s="128" t="s">
        <v>19</v>
      </c>
    </row>
    <row r="52" spans="1:12" ht="15" x14ac:dyDescent="0.2">
      <c r="A52" s="8" t="s">
        <v>1</v>
      </c>
      <c r="B52" s="254" t="s">
        <v>43</v>
      </c>
      <c r="C52" s="255"/>
      <c r="D52" s="255"/>
      <c r="E52" s="255"/>
      <c r="F52" s="255"/>
      <c r="G52" s="255"/>
      <c r="H52" s="256"/>
      <c r="I52" s="129">
        <f>K52-L52</f>
        <v>128.88</v>
      </c>
      <c r="K52">
        <f>H53*H54*22</f>
        <v>255.2</v>
      </c>
      <c r="L52" s="122">
        <f>I23*H55</f>
        <v>126.32</v>
      </c>
    </row>
    <row r="53" spans="1:12" ht="24.75" customHeight="1" x14ac:dyDescent="0.2">
      <c r="A53" s="8"/>
      <c r="B53" s="263" t="s">
        <v>44</v>
      </c>
      <c r="C53" s="264"/>
      <c r="D53" s="264"/>
      <c r="E53" s="264"/>
      <c r="F53" s="264"/>
      <c r="G53" s="265"/>
      <c r="H53" s="100">
        <v>5.8</v>
      </c>
      <c r="I53" s="40" t="s">
        <v>45</v>
      </c>
    </row>
    <row r="54" spans="1:12" ht="12.75" customHeight="1" x14ac:dyDescent="0.2">
      <c r="A54" s="11"/>
      <c r="B54" s="263" t="s">
        <v>110</v>
      </c>
      <c r="C54" s="264"/>
      <c r="D54" s="264"/>
      <c r="E54" s="264"/>
      <c r="F54" s="264"/>
      <c r="G54" s="265"/>
      <c r="H54" s="101">
        <v>2</v>
      </c>
      <c r="I54" s="130" t="s">
        <v>45</v>
      </c>
    </row>
    <row r="55" spans="1:12" ht="12.75" customHeight="1" x14ac:dyDescent="0.2">
      <c r="A55" s="8"/>
      <c r="B55" s="263" t="s">
        <v>46</v>
      </c>
      <c r="C55" s="264"/>
      <c r="D55" s="264"/>
      <c r="E55" s="264"/>
      <c r="F55" s="264"/>
      <c r="G55" s="265"/>
      <c r="H55" s="102">
        <v>0.06</v>
      </c>
      <c r="I55" s="40"/>
    </row>
    <row r="56" spans="1:12" ht="15" customHeight="1" x14ac:dyDescent="0.2">
      <c r="A56" s="8" t="s">
        <v>3</v>
      </c>
      <c r="B56" s="190" t="s">
        <v>47</v>
      </c>
      <c r="C56" s="190"/>
      <c r="D56" s="190"/>
      <c r="E56" s="190"/>
      <c r="F56" s="190"/>
      <c r="G56" s="190"/>
      <c r="H56" s="121">
        <v>30</v>
      </c>
      <c r="I56" s="131">
        <f>ROUND((H56*22)*0.8,2)</f>
        <v>528</v>
      </c>
    </row>
    <row r="57" spans="1:12" ht="17.25" customHeight="1" x14ac:dyDescent="0.2">
      <c r="A57" s="8" t="s">
        <v>5</v>
      </c>
      <c r="B57" s="190" t="s">
        <v>48</v>
      </c>
      <c r="C57" s="190"/>
      <c r="D57" s="190"/>
      <c r="E57" s="190"/>
      <c r="F57" s="190"/>
      <c r="G57" s="190"/>
      <c r="H57" s="12"/>
      <c r="I57" s="131">
        <v>0</v>
      </c>
    </row>
    <row r="58" spans="1:12" ht="28.5" customHeight="1" x14ac:dyDescent="0.2">
      <c r="A58" s="8" t="s">
        <v>7</v>
      </c>
      <c r="B58" s="190" t="s">
        <v>83</v>
      </c>
      <c r="C58" s="190"/>
      <c r="D58" s="190"/>
      <c r="E58" s="190"/>
      <c r="F58" s="190"/>
      <c r="G58" s="190"/>
      <c r="H58" s="12"/>
      <c r="I58" s="132">
        <v>18</v>
      </c>
    </row>
    <row r="59" spans="1:12" ht="22.5" customHeight="1" x14ac:dyDescent="0.2">
      <c r="A59" s="8" t="s">
        <v>21</v>
      </c>
      <c r="B59" s="190" t="s">
        <v>155</v>
      </c>
      <c r="C59" s="190"/>
      <c r="D59" s="190"/>
      <c r="E59" s="190"/>
      <c r="F59" s="190"/>
      <c r="G59" s="190"/>
      <c r="H59" s="12"/>
      <c r="I59" s="132">
        <v>15.62</v>
      </c>
    </row>
    <row r="60" spans="1:12" ht="22.5" customHeight="1" x14ac:dyDescent="0.2">
      <c r="A60" s="8" t="s">
        <v>23</v>
      </c>
      <c r="B60" s="190" t="s">
        <v>84</v>
      </c>
      <c r="C60" s="190"/>
      <c r="D60" s="190"/>
      <c r="E60" s="190"/>
      <c r="F60" s="190"/>
      <c r="G60" s="190"/>
      <c r="H60" s="12"/>
      <c r="I60" s="132">
        <v>0</v>
      </c>
    </row>
    <row r="61" spans="1:12" ht="19.5" customHeight="1" x14ac:dyDescent="0.2">
      <c r="A61" s="13"/>
      <c r="B61" s="257" t="s">
        <v>30</v>
      </c>
      <c r="C61" s="258"/>
      <c r="D61" s="258"/>
      <c r="E61" s="258"/>
      <c r="F61" s="258"/>
      <c r="G61" s="258"/>
      <c r="H61" s="259"/>
      <c r="I61" s="126">
        <f>SUM(I52:I60)</f>
        <v>690.5</v>
      </c>
    </row>
    <row r="62" spans="1:12" ht="30.75" customHeight="1" x14ac:dyDescent="0.2">
      <c r="A62" s="243" t="s">
        <v>49</v>
      </c>
      <c r="B62" s="244"/>
      <c r="C62" s="244"/>
      <c r="D62" s="244"/>
      <c r="E62" s="244"/>
      <c r="F62" s="244"/>
      <c r="G62" s="244"/>
      <c r="H62" s="244"/>
      <c r="I62" s="245"/>
    </row>
    <row r="63" spans="1:12" ht="20.25" customHeight="1" x14ac:dyDescent="0.2">
      <c r="A63" s="95">
        <v>2</v>
      </c>
      <c r="B63" s="260" t="s">
        <v>50</v>
      </c>
      <c r="C63" s="261"/>
      <c r="D63" s="261"/>
      <c r="E63" s="261"/>
      <c r="F63" s="261"/>
      <c r="G63" s="261"/>
      <c r="H63" s="262"/>
      <c r="I63" s="133" t="s">
        <v>19</v>
      </c>
    </row>
    <row r="64" spans="1:12" ht="12.75" customHeight="1" x14ac:dyDescent="0.2">
      <c r="A64" s="8" t="s">
        <v>28</v>
      </c>
      <c r="B64" s="181" t="s">
        <v>29</v>
      </c>
      <c r="C64" s="182"/>
      <c r="D64" s="182"/>
      <c r="E64" s="182"/>
      <c r="F64" s="182"/>
      <c r="G64" s="182"/>
      <c r="H64" s="183"/>
      <c r="I64" s="40">
        <f>I35</f>
        <v>731.23</v>
      </c>
    </row>
    <row r="65" spans="1:9" ht="12.75" customHeight="1" x14ac:dyDescent="0.2">
      <c r="A65" s="8" t="s">
        <v>31</v>
      </c>
      <c r="B65" s="181" t="s">
        <v>32</v>
      </c>
      <c r="C65" s="182"/>
      <c r="D65" s="182"/>
      <c r="E65" s="182"/>
      <c r="F65" s="182"/>
      <c r="G65" s="182"/>
      <c r="H65" s="183"/>
      <c r="I65" s="40">
        <f>I49</f>
        <v>1543.12</v>
      </c>
    </row>
    <row r="66" spans="1:9" ht="12.75" customHeight="1" x14ac:dyDescent="0.2">
      <c r="A66" s="8" t="s">
        <v>41</v>
      </c>
      <c r="B66" s="181" t="s">
        <v>42</v>
      </c>
      <c r="C66" s="182"/>
      <c r="D66" s="182"/>
      <c r="E66" s="182"/>
      <c r="F66" s="182"/>
      <c r="G66" s="182"/>
      <c r="H66" s="183"/>
      <c r="I66" s="40">
        <f>I61</f>
        <v>690.5</v>
      </c>
    </row>
    <row r="67" spans="1:9" ht="14.25" x14ac:dyDescent="0.2">
      <c r="A67" s="257" t="s">
        <v>26</v>
      </c>
      <c r="B67" s="258"/>
      <c r="C67" s="258"/>
      <c r="D67" s="258"/>
      <c r="E67" s="258"/>
      <c r="F67" s="258"/>
      <c r="G67" s="258"/>
      <c r="H67" s="259"/>
      <c r="I67" s="126">
        <f>SUM(I64:I66)</f>
        <v>2964.85</v>
      </c>
    </row>
    <row r="68" spans="1:9" ht="14.25" x14ac:dyDescent="0.2">
      <c r="A68" s="202"/>
      <c r="B68" s="203"/>
      <c r="C68" s="203"/>
      <c r="D68" s="203"/>
      <c r="E68" s="203"/>
      <c r="F68" s="203"/>
      <c r="G68" s="203"/>
      <c r="H68" s="203"/>
      <c r="I68" s="204"/>
    </row>
    <row r="69" spans="1:9" ht="26.25" customHeight="1" x14ac:dyDescent="0.2">
      <c r="A69" s="243" t="s">
        <v>51</v>
      </c>
      <c r="B69" s="244"/>
      <c r="C69" s="244"/>
      <c r="D69" s="244"/>
      <c r="E69" s="244"/>
      <c r="F69" s="244"/>
      <c r="G69" s="244"/>
      <c r="H69" s="244"/>
      <c r="I69" s="245"/>
    </row>
    <row r="70" spans="1:9" ht="26.25" customHeight="1" x14ac:dyDescent="0.2">
      <c r="A70" s="86">
        <v>3</v>
      </c>
      <c r="B70" s="208" t="s">
        <v>97</v>
      </c>
      <c r="C70" s="209"/>
      <c r="D70" s="209"/>
      <c r="E70" s="209"/>
      <c r="F70" s="209"/>
      <c r="G70" s="210"/>
      <c r="H70" s="86" t="s">
        <v>96</v>
      </c>
      <c r="I70" s="123" t="s">
        <v>19</v>
      </c>
    </row>
    <row r="71" spans="1:9" ht="39" customHeight="1" x14ac:dyDescent="0.2">
      <c r="A71" s="8" t="s">
        <v>1</v>
      </c>
      <c r="B71" s="217" t="s">
        <v>91</v>
      </c>
      <c r="C71" s="217"/>
      <c r="D71" s="217"/>
      <c r="E71" s="217"/>
      <c r="F71" s="217"/>
      <c r="G71" s="217"/>
      <c r="H71" s="27">
        <f>(1/12*0.7242)</f>
        <v>6.0400000000000002E-2</v>
      </c>
      <c r="I71" s="134">
        <f>H71*I38</f>
        <v>260.35000000000002</v>
      </c>
    </row>
    <row r="72" spans="1:9" ht="15" x14ac:dyDescent="0.2">
      <c r="A72" s="8" t="s">
        <v>3</v>
      </c>
      <c r="B72" s="266" t="s">
        <v>52</v>
      </c>
      <c r="C72" s="266"/>
      <c r="D72" s="266"/>
      <c r="E72" s="266"/>
      <c r="F72" s="266"/>
      <c r="G72" s="266"/>
      <c r="H72" s="5">
        <v>0.08</v>
      </c>
      <c r="I72" s="40">
        <f>I71*H72</f>
        <v>20.83</v>
      </c>
    </row>
    <row r="73" spans="1:9" ht="12.75" customHeight="1" x14ac:dyDescent="0.2">
      <c r="A73" s="14" t="s">
        <v>5</v>
      </c>
      <c r="B73" s="217" t="s">
        <v>53</v>
      </c>
      <c r="C73" s="217"/>
      <c r="D73" s="217"/>
      <c r="E73" s="217"/>
      <c r="F73" s="217"/>
      <c r="G73" s="217"/>
      <c r="H73" s="27">
        <v>0.04</v>
      </c>
      <c r="I73" s="135">
        <f>H73*I38</f>
        <v>172.42</v>
      </c>
    </row>
    <row r="74" spans="1:9" ht="17.25" customHeight="1" x14ac:dyDescent="0.2">
      <c r="A74" s="14" t="s">
        <v>7</v>
      </c>
      <c r="B74" s="217" t="s">
        <v>92</v>
      </c>
      <c r="C74" s="217"/>
      <c r="D74" s="217"/>
      <c r="E74" s="217"/>
      <c r="F74" s="217"/>
      <c r="G74" s="217"/>
      <c r="H74" s="27">
        <f>(((7/30)/12))</f>
        <v>1.9400000000000001E-2</v>
      </c>
      <c r="I74" s="135">
        <f>H74*I38</f>
        <v>83.62</v>
      </c>
    </row>
    <row r="75" spans="1:9" ht="15" x14ac:dyDescent="0.2">
      <c r="A75" s="8" t="s">
        <v>21</v>
      </c>
      <c r="B75" s="266" t="s">
        <v>54</v>
      </c>
      <c r="C75" s="266"/>
      <c r="D75" s="266"/>
      <c r="E75" s="266"/>
      <c r="F75" s="266"/>
      <c r="G75" s="266"/>
      <c r="H75" s="5">
        <f>H49</f>
        <v>0.36799999999999999</v>
      </c>
      <c r="I75" s="40">
        <f>H75*I74</f>
        <v>30.77</v>
      </c>
    </row>
    <row r="76" spans="1:9" ht="12.75" customHeight="1" x14ac:dyDescent="0.2">
      <c r="A76" s="14" t="s">
        <v>23</v>
      </c>
      <c r="B76" s="217" t="s">
        <v>55</v>
      </c>
      <c r="C76" s="217"/>
      <c r="D76" s="217"/>
      <c r="E76" s="217"/>
      <c r="F76" s="217"/>
      <c r="G76" s="217"/>
      <c r="H76" s="27">
        <v>0.04</v>
      </c>
      <c r="I76" s="135">
        <f>H76*I38</f>
        <v>172.42</v>
      </c>
    </row>
    <row r="77" spans="1:9" ht="14.25" x14ac:dyDescent="0.2">
      <c r="A77" s="257" t="s">
        <v>26</v>
      </c>
      <c r="B77" s="258"/>
      <c r="C77" s="258"/>
      <c r="D77" s="258"/>
      <c r="E77" s="258"/>
      <c r="F77" s="258"/>
      <c r="G77" s="258"/>
      <c r="H77" s="259"/>
      <c r="I77" s="126">
        <f>SUM(I71:I76)</f>
        <v>740.41</v>
      </c>
    </row>
    <row r="78" spans="1:9" ht="14.25" x14ac:dyDescent="0.2">
      <c r="A78" s="270" t="s">
        <v>118</v>
      </c>
      <c r="B78" s="270"/>
      <c r="C78" s="270"/>
      <c r="D78" s="270"/>
      <c r="E78" s="270"/>
      <c r="F78" s="270"/>
      <c r="G78" s="270"/>
      <c r="H78" s="64" t="s">
        <v>114</v>
      </c>
      <c r="I78" s="136">
        <f>I29</f>
        <v>3579.18</v>
      </c>
    </row>
    <row r="79" spans="1:9" ht="14.25" x14ac:dyDescent="0.2">
      <c r="A79" s="270"/>
      <c r="B79" s="270"/>
      <c r="C79" s="270"/>
      <c r="D79" s="270"/>
      <c r="E79" s="270"/>
      <c r="F79" s="270"/>
      <c r="G79" s="270"/>
      <c r="H79" s="64" t="s">
        <v>119</v>
      </c>
      <c r="I79" s="136">
        <f>I67</f>
        <v>2964.85</v>
      </c>
    </row>
    <row r="80" spans="1:9" ht="14.25" x14ac:dyDescent="0.2">
      <c r="A80" s="270"/>
      <c r="B80" s="270"/>
      <c r="C80" s="270"/>
      <c r="D80" s="270"/>
      <c r="E80" s="270"/>
      <c r="F80" s="270"/>
      <c r="G80" s="270"/>
      <c r="H80" s="64" t="s">
        <v>120</v>
      </c>
      <c r="I80" s="136">
        <f>I77</f>
        <v>740.41</v>
      </c>
    </row>
    <row r="81" spans="1:9" ht="14.25" x14ac:dyDescent="0.2">
      <c r="A81" s="270"/>
      <c r="B81" s="270"/>
      <c r="C81" s="270"/>
      <c r="D81" s="270"/>
      <c r="E81" s="270"/>
      <c r="F81" s="270"/>
      <c r="G81" s="270"/>
      <c r="H81" s="59" t="s">
        <v>26</v>
      </c>
      <c r="I81" s="137">
        <f>SUM(I78:I80)</f>
        <v>7284.44</v>
      </c>
    </row>
    <row r="82" spans="1:9" ht="26.25" customHeight="1" x14ac:dyDescent="0.2">
      <c r="A82" s="205" t="s">
        <v>56</v>
      </c>
      <c r="B82" s="206"/>
      <c r="C82" s="206"/>
      <c r="D82" s="206"/>
      <c r="E82" s="206"/>
      <c r="F82" s="206"/>
      <c r="G82" s="206"/>
      <c r="H82" s="206"/>
      <c r="I82" s="207"/>
    </row>
    <row r="83" spans="1:9" ht="14.25" x14ac:dyDescent="0.2">
      <c r="A83" s="97" t="s">
        <v>57</v>
      </c>
      <c r="B83" s="271" t="s">
        <v>58</v>
      </c>
      <c r="C83" s="271"/>
      <c r="D83" s="271"/>
      <c r="E83" s="271"/>
      <c r="F83" s="271"/>
      <c r="G83" s="271"/>
      <c r="H83" s="86" t="s">
        <v>96</v>
      </c>
      <c r="I83" s="138" t="s">
        <v>19</v>
      </c>
    </row>
    <row r="84" spans="1:9" ht="24.75" customHeight="1" x14ac:dyDescent="0.2">
      <c r="A84" s="8" t="s">
        <v>1</v>
      </c>
      <c r="B84" s="217" t="s">
        <v>172</v>
      </c>
      <c r="C84" s="217"/>
      <c r="D84" s="217"/>
      <c r="E84" s="217"/>
      <c r="F84" s="217"/>
      <c r="G84" s="217"/>
      <c r="H84" s="27">
        <f>H35/12</f>
        <v>1.7000000000000001E-2</v>
      </c>
      <c r="I84" s="40">
        <f>H84*I81</f>
        <v>123.84</v>
      </c>
    </row>
    <row r="85" spans="1:9" ht="15" x14ac:dyDescent="0.2">
      <c r="A85" s="8" t="s">
        <v>3</v>
      </c>
      <c r="B85" s="266" t="s">
        <v>177</v>
      </c>
      <c r="C85" s="266"/>
      <c r="D85" s="266"/>
      <c r="E85" s="266"/>
      <c r="F85" s="266"/>
      <c r="G85" s="266"/>
      <c r="H85" s="5">
        <v>5.5999999999999999E-3</v>
      </c>
      <c r="I85" s="135">
        <f>H85*I81</f>
        <v>40.79</v>
      </c>
    </row>
    <row r="86" spans="1:9" ht="15" x14ac:dyDescent="0.2">
      <c r="A86" s="8" t="s">
        <v>5</v>
      </c>
      <c r="B86" s="266" t="s">
        <v>173</v>
      </c>
      <c r="C86" s="266"/>
      <c r="D86" s="266"/>
      <c r="E86" s="266"/>
      <c r="F86" s="266"/>
      <c r="G86" s="266"/>
      <c r="H86" s="61">
        <f>((5/30/12)*0.02)</f>
        <v>2.7999999999999998E-4</v>
      </c>
      <c r="I86" s="135">
        <f>TRUNC(H86*I81,2)</f>
        <v>2.0299999999999998</v>
      </c>
    </row>
    <row r="87" spans="1:9" ht="15" x14ac:dyDescent="0.2">
      <c r="A87" s="8" t="s">
        <v>7</v>
      </c>
      <c r="B87" s="266" t="s">
        <v>179</v>
      </c>
      <c r="C87" s="266"/>
      <c r="D87" s="266"/>
      <c r="E87" s="266"/>
      <c r="F87" s="266"/>
      <c r="G87" s="266"/>
      <c r="H87" s="5">
        <f>((15/30)/12)*0.08</f>
        <v>3.3E-3</v>
      </c>
      <c r="I87" s="135">
        <f>TRUNC(H87*I81,2)</f>
        <v>24.03</v>
      </c>
    </row>
    <row r="88" spans="1:9" ht="15" x14ac:dyDescent="0.2">
      <c r="A88" s="8" t="s">
        <v>21</v>
      </c>
      <c r="B88" s="266" t="s">
        <v>178</v>
      </c>
      <c r="C88" s="266"/>
      <c r="D88" s="266"/>
      <c r="E88" s="266"/>
      <c r="F88" s="266"/>
      <c r="G88" s="266"/>
      <c r="H88" s="5">
        <f>0.121*0.03*((4/12))</f>
        <v>1.1999999999999999E-3</v>
      </c>
      <c r="I88" s="40">
        <f>TRUNC(H88*I81,2)</f>
        <v>8.74</v>
      </c>
    </row>
    <row r="89" spans="1:9" ht="15" x14ac:dyDescent="0.25">
      <c r="A89" s="4" t="s">
        <v>23</v>
      </c>
      <c r="B89" s="266" t="s">
        <v>25</v>
      </c>
      <c r="C89" s="266"/>
      <c r="D89" s="266"/>
      <c r="E89" s="266"/>
      <c r="F89" s="266"/>
      <c r="G89" s="266"/>
      <c r="H89" s="5"/>
      <c r="I89" s="40"/>
    </row>
    <row r="90" spans="1:9" ht="14.25" x14ac:dyDescent="0.2">
      <c r="A90" s="257" t="s">
        <v>30</v>
      </c>
      <c r="B90" s="258"/>
      <c r="C90" s="258"/>
      <c r="D90" s="258"/>
      <c r="E90" s="258"/>
      <c r="F90" s="258"/>
      <c r="G90" s="258"/>
      <c r="H90" s="259"/>
      <c r="I90" s="126">
        <f>SUM(I84:I88)</f>
        <v>199.43</v>
      </c>
    </row>
    <row r="91" spans="1:9" ht="14.25" x14ac:dyDescent="0.2">
      <c r="A91" s="97" t="s">
        <v>59</v>
      </c>
      <c r="B91" s="267" t="s">
        <v>60</v>
      </c>
      <c r="C91" s="268"/>
      <c r="D91" s="268"/>
      <c r="E91" s="268"/>
      <c r="F91" s="268"/>
      <c r="G91" s="268"/>
      <c r="H91" s="269"/>
      <c r="I91" s="138" t="s">
        <v>19</v>
      </c>
    </row>
    <row r="92" spans="1:9" ht="12.75" customHeight="1" x14ac:dyDescent="0.2">
      <c r="A92" s="8" t="s">
        <v>1</v>
      </c>
      <c r="B92" s="190" t="s">
        <v>61</v>
      </c>
      <c r="C92" s="190"/>
      <c r="D92" s="190"/>
      <c r="E92" s="190"/>
      <c r="F92" s="190"/>
      <c r="G92" s="190"/>
      <c r="H92" s="39"/>
      <c r="I92" s="40">
        <v>0</v>
      </c>
    </row>
    <row r="93" spans="1:9" ht="14.25" x14ac:dyDescent="0.2">
      <c r="A93" s="257" t="s">
        <v>30</v>
      </c>
      <c r="B93" s="258"/>
      <c r="C93" s="258"/>
      <c r="D93" s="258"/>
      <c r="E93" s="258"/>
      <c r="F93" s="258"/>
      <c r="G93" s="258"/>
      <c r="H93" s="259"/>
      <c r="I93" s="126">
        <f>SUM(I92:I92)</f>
        <v>0</v>
      </c>
    </row>
    <row r="94" spans="1:9" ht="21.75" customHeight="1" x14ac:dyDescent="0.2">
      <c r="A94" s="243" t="s">
        <v>62</v>
      </c>
      <c r="B94" s="244"/>
      <c r="C94" s="244"/>
      <c r="D94" s="244"/>
      <c r="E94" s="244"/>
      <c r="F94" s="244"/>
      <c r="G94" s="244"/>
      <c r="H94" s="244"/>
      <c r="I94" s="245"/>
    </row>
    <row r="95" spans="1:9" ht="12.75" customHeight="1" x14ac:dyDescent="0.2">
      <c r="A95" s="88">
        <v>4</v>
      </c>
      <c r="B95" s="208" t="s">
        <v>63</v>
      </c>
      <c r="C95" s="209"/>
      <c r="D95" s="209"/>
      <c r="E95" s="209"/>
      <c r="F95" s="209"/>
      <c r="G95" s="209"/>
      <c r="H95" s="210"/>
      <c r="I95" s="125" t="s">
        <v>19</v>
      </c>
    </row>
    <row r="96" spans="1:9" ht="12.75" customHeight="1" x14ac:dyDescent="0.2">
      <c r="A96" s="8" t="s">
        <v>57</v>
      </c>
      <c r="B96" s="190" t="s">
        <v>58</v>
      </c>
      <c r="C96" s="190"/>
      <c r="D96" s="190"/>
      <c r="E96" s="190"/>
      <c r="F96" s="190"/>
      <c r="G96" s="190"/>
      <c r="H96" s="15"/>
      <c r="I96" s="40">
        <f>I90</f>
        <v>199.43</v>
      </c>
    </row>
    <row r="97" spans="1:10" ht="12.75" customHeight="1" x14ac:dyDescent="0.2">
      <c r="A97" s="8" t="s">
        <v>59</v>
      </c>
      <c r="B97" s="190" t="s">
        <v>60</v>
      </c>
      <c r="C97" s="190"/>
      <c r="D97" s="190"/>
      <c r="E97" s="190"/>
      <c r="F97" s="190"/>
      <c r="G97" s="190"/>
      <c r="H97" s="15"/>
      <c r="I97" s="40">
        <f>I93</f>
        <v>0</v>
      </c>
      <c r="J97" s="154"/>
    </row>
    <row r="98" spans="1:10" ht="14.25" x14ac:dyDescent="0.2">
      <c r="A98" s="257" t="s">
        <v>26</v>
      </c>
      <c r="B98" s="258"/>
      <c r="C98" s="258"/>
      <c r="D98" s="258"/>
      <c r="E98" s="258"/>
      <c r="F98" s="258"/>
      <c r="G98" s="258"/>
      <c r="H98" s="259"/>
      <c r="I98" s="126">
        <f>SUM(I96:I97)</f>
        <v>199.43</v>
      </c>
    </row>
    <row r="99" spans="1:10" ht="14.25" x14ac:dyDescent="0.2">
      <c r="A99" s="202"/>
      <c r="B99" s="203"/>
      <c r="C99" s="203"/>
      <c r="D99" s="203"/>
      <c r="E99" s="203"/>
      <c r="F99" s="203"/>
      <c r="G99" s="203"/>
      <c r="H99" s="203"/>
      <c r="I99" s="204"/>
    </row>
    <row r="100" spans="1:10" ht="18.75" customHeight="1" x14ac:dyDescent="0.2">
      <c r="A100" s="205" t="s">
        <v>64</v>
      </c>
      <c r="B100" s="206"/>
      <c r="C100" s="206"/>
      <c r="D100" s="206"/>
      <c r="E100" s="206"/>
      <c r="F100" s="206"/>
      <c r="G100" s="206"/>
      <c r="H100" s="206"/>
      <c r="I100" s="207"/>
    </row>
    <row r="101" spans="1:10" ht="12.75" customHeight="1" x14ac:dyDescent="0.2">
      <c r="A101" s="88">
        <v>5</v>
      </c>
      <c r="B101" s="208" t="s">
        <v>65</v>
      </c>
      <c r="C101" s="209"/>
      <c r="D101" s="209"/>
      <c r="E101" s="209"/>
      <c r="F101" s="209"/>
      <c r="G101" s="209"/>
      <c r="H101" s="210"/>
      <c r="I101" s="125" t="s">
        <v>19</v>
      </c>
    </row>
    <row r="102" spans="1:10" ht="15" customHeight="1" x14ac:dyDescent="0.2">
      <c r="A102" s="8" t="s">
        <v>1</v>
      </c>
      <c r="B102" s="181" t="s">
        <v>66</v>
      </c>
      <c r="C102" s="182"/>
      <c r="D102" s="182"/>
      <c r="E102" s="182"/>
      <c r="F102" s="182"/>
      <c r="G102" s="182"/>
      <c r="H102" s="183"/>
      <c r="I102" s="40">
        <v>86.76</v>
      </c>
    </row>
    <row r="103" spans="1:10" ht="15" x14ac:dyDescent="0.2">
      <c r="A103" s="8" t="s">
        <v>5</v>
      </c>
      <c r="B103" s="254" t="s">
        <v>67</v>
      </c>
      <c r="C103" s="255"/>
      <c r="D103" s="255"/>
      <c r="E103" s="255"/>
      <c r="F103" s="255"/>
      <c r="G103" s="255"/>
      <c r="H103" s="256"/>
      <c r="I103" s="139">
        <v>55.63</v>
      </c>
    </row>
    <row r="104" spans="1:10" ht="14.25" x14ac:dyDescent="0.2">
      <c r="A104" s="257" t="s">
        <v>26</v>
      </c>
      <c r="B104" s="258"/>
      <c r="C104" s="258"/>
      <c r="D104" s="258"/>
      <c r="E104" s="258"/>
      <c r="F104" s="258"/>
      <c r="G104" s="258"/>
      <c r="H104" s="259"/>
      <c r="I104" s="140">
        <f>ROUND(SUM(I102:I103),2)</f>
        <v>142.38999999999999</v>
      </c>
    </row>
    <row r="105" spans="1:10" ht="14.25" customHeight="1" x14ac:dyDescent="0.2">
      <c r="A105" s="272" t="s">
        <v>121</v>
      </c>
      <c r="B105" s="273"/>
      <c r="C105" s="273"/>
      <c r="D105" s="273"/>
      <c r="E105" s="273"/>
      <c r="F105" s="273"/>
      <c r="G105" s="274"/>
      <c r="H105" s="64" t="s">
        <v>114</v>
      </c>
      <c r="I105" s="141">
        <f>I29</f>
        <v>3579.18</v>
      </c>
    </row>
    <row r="106" spans="1:10" ht="14.25" x14ac:dyDescent="0.2">
      <c r="A106" s="275"/>
      <c r="B106" s="276"/>
      <c r="C106" s="276"/>
      <c r="D106" s="276"/>
      <c r="E106" s="276"/>
      <c r="F106" s="276"/>
      <c r="G106" s="277"/>
      <c r="H106" s="64" t="s">
        <v>119</v>
      </c>
      <c r="I106" s="141">
        <f>I67</f>
        <v>2964.85</v>
      </c>
    </row>
    <row r="107" spans="1:10" ht="14.25" x14ac:dyDescent="0.2">
      <c r="A107" s="275"/>
      <c r="B107" s="276"/>
      <c r="C107" s="276"/>
      <c r="D107" s="276"/>
      <c r="E107" s="276"/>
      <c r="F107" s="276"/>
      <c r="G107" s="277"/>
      <c r="H107" s="64" t="s">
        <v>120</v>
      </c>
      <c r="I107" s="141">
        <f>I77</f>
        <v>740.41</v>
      </c>
    </row>
    <row r="108" spans="1:10" ht="14.25" x14ac:dyDescent="0.2">
      <c r="A108" s="275"/>
      <c r="B108" s="276"/>
      <c r="C108" s="276"/>
      <c r="D108" s="276"/>
      <c r="E108" s="276"/>
      <c r="F108" s="276"/>
      <c r="G108" s="277"/>
      <c r="H108" s="64" t="s">
        <v>122</v>
      </c>
      <c r="I108" s="141">
        <f>I98</f>
        <v>199.43</v>
      </c>
    </row>
    <row r="109" spans="1:10" ht="14.25" x14ac:dyDescent="0.2">
      <c r="A109" s="275"/>
      <c r="B109" s="276"/>
      <c r="C109" s="276"/>
      <c r="D109" s="276"/>
      <c r="E109" s="276"/>
      <c r="F109" s="276"/>
      <c r="G109" s="277"/>
      <c r="H109" s="64" t="s">
        <v>123</v>
      </c>
      <c r="I109" s="137">
        <f>I104</f>
        <v>142.38999999999999</v>
      </c>
    </row>
    <row r="110" spans="1:10" ht="14.25" x14ac:dyDescent="0.2">
      <c r="A110" s="278"/>
      <c r="B110" s="279"/>
      <c r="C110" s="279"/>
      <c r="D110" s="279"/>
      <c r="E110" s="279"/>
      <c r="F110" s="279"/>
      <c r="G110" s="280"/>
      <c r="H110" s="64" t="s">
        <v>26</v>
      </c>
      <c r="I110" s="142">
        <f>SUM(I105:I109)</f>
        <v>7626.26</v>
      </c>
    </row>
    <row r="111" spans="1:10" ht="24" customHeight="1" x14ac:dyDescent="0.2">
      <c r="A111" s="281" t="s">
        <v>68</v>
      </c>
      <c r="B111" s="281"/>
      <c r="C111" s="281"/>
      <c r="D111" s="281"/>
      <c r="E111" s="281"/>
      <c r="F111" s="281"/>
      <c r="G111" s="281"/>
      <c r="H111" s="281"/>
      <c r="I111" s="281"/>
    </row>
    <row r="112" spans="1:10" ht="28.5" x14ac:dyDescent="0.2">
      <c r="A112" s="88">
        <v>6</v>
      </c>
      <c r="B112" s="267" t="s">
        <v>69</v>
      </c>
      <c r="C112" s="268"/>
      <c r="D112" s="268"/>
      <c r="E112" s="268"/>
      <c r="F112" s="268"/>
      <c r="G112" s="269"/>
      <c r="H112" s="89" t="s">
        <v>18</v>
      </c>
      <c r="I112" s="125" t="s">
        <v>19</v>
      </c>
    </row>
    <row r="113" spans="1:9" ht="15" x14ac:dyDescent="0.2">
      <c r="A113" s="8" t="s">
        <v>1</v>
      </c>
      <c r="B113" s="254" t="s">
        <v>70</v>
      </c>
      <c r="C113" s="255"/>
      <c r="D113" s="255"/>
      <c r="E113" s="255"/>
      <c r="F113" s="255"/>
      <c r="G113" s="256"/>
      <c r="H113" s="85">
        <v>0.05</v>
      </c>
      <c r="I113" s="40">
        <f>SUM(H113*I130)</f>
        <v>381.31</v>
      </c>
    </row>
    <row r="114" spans="1:9" ht="15" x14ac:dyDescent="0.2">
      <c r="A114" s="8" t="s">
        <v>3</v>
      </c>
      <c r="B114" s="254" t="s">
        <v>71</v>
      </c>
      <c r="C114" s="255"/>
      <c r="D114" s="255"/>
      <c r="E114" s="255"/>
      <c r="F114" s="255"/>
      <c r="G114" s="256"/>
      <c r="H114" s="85">
        <v>0.05</v>
      </c>
      <c r="I114" s="40">
        <f>H114*(I130+I113)</f>
        <v>400.38</v>
      </c>
    </row>
    <row r="115" spans="1:9" ht="15" x14ac:dyDescent="0.2">
      <c r="A115" s="8" t="s">
        <v>5</v>
      </c>
      <c r="B115" s="254" t="s">
        <v>72</v>
      </c>
      <c r="C115" s="255"/>
      <c r="D115" s="255"/>
      <c r="E115" s="255"/>
      <c r="F115" s="255"/>
      <c r="G115" s="256"/>
      <c r="H115" s="26">
        <f>SUM(H117+H118+H119)</f>
        <v>0.13250000000000001</v>
      </c>
      <c r="I115" s="143">
        <f>SUM(I117:I119)</f>
        <v>1284.21</v>
      </c>
    </row>
    <row r="116" spans="1:9" ht="15" x14ac:dyDescent="0.2">
      <c r="A116" s="16"/>
      <c r="B116" s="254" t="s">
        <v>111</v>
      </c>
      <c r="C116" s="255"/>
      <c r="D116" s="255"/>
      <c r="E116" s="255"/>
      <c r="F116" s="255"/>
      <c r="G116" s="256"/>
      <c r="H116" s="5" t="s">
        <v>45</v>
      </c>
      <c r="I116" s="40" t="s">
        <v>45</v>
      </c>
    </row>
    <row r="117" spans="1:9" ht="12.75" customHeight="1" x14ac:dyDescent="0.2">
      <c r="A117" s="16"/>
      <c r="B117" s="181" t="s">
        <v>93</v>
      </c>
      <c r="C117" s="182"/>
      <c r="D117" s="182"/>
      <c r="E117" s="182"/>
      <c r="F117" s="182"/>
      <c r="G117" s="183"/>
      <c r="H117" s="84">
        <v>7.5999999999999998E-2</v>
      </c>
      <c r="I117" s="40">
        <f>SUM(H117*I132)</f>
        <v>736.6</v>
      </c>
    </row>
    <row r="118" spans="1:9" ht="12.75" customHeight="1" x14ac:dyDescent="0.2">
      <c r="A118" s="16"/>
      <c r="B118" s="181" t="s">
        <v>94</v>
      </c>
      <c r="C118" s="182"/>
      <c r="D118" s="182"/>
      <c r="E118" s="182"/>
      <c r="F118" s="182"/>
      <c r="G118" s="183"/>
      <c r="H118" s="84">
        <v>1.6500000000000001E-2</v>
      </c>
      <c r="I118" s="40">
        <f>SUM(H118*I132)</f>
        <v>159.91999999999999</v>
      </c>
    </row>
    <row r="119" spans="1:9" ht="12.75" customHeight="1" x14ac:dyDescent="0.2">
      <c r="A119" s="16"/>
      <c r="B119" s="181" t="s">
        <v>95</v>
      </c>
      <c r="C119" s="182"/>
      <c r="D119" s="182"/>
      <c r="E119" s="182"/>
      <c r="F119" s="182"/>
      <c r="G119" s="183"/>
      <c r="H119" s="84">
        <v>0.04</v>
      </c>
      <c r="I119" s="40">
        <f>SUM(H119*I132)</f>
        <v>387.69</v>
      </c>
    </row>
    <row r="120" spans="1:9" ht="14.25" x14ac:dyDescent="0.2">
      <c r="A120" s="257" t="s">
        <v>26</v>
      </c>
      <c r="B120" s="258"/>
      <c r="C120" s="258"/>
      <c r="D120" s="258"/>
      <c r="E120" s="258"/>
      <c r="F120" s="258"/>
      <c r="G120" s="258"/>
      <c r="H120" s="68"/>
      <c r="I120" s="126">
        <f>SUM(I113+I114+I117+I118+I119)</f>
        <v>2065.9</v>
      </c>
    </row>
    <row r="121" spans="1:9" ht="14.25" x14ac:dyDescent="0.2">
      <c r="A121" s="282"/>
      <c r="B121" s="283"/>
      <c r="C121" s="283"/>
      <c r="D121" s="283"/>
      <c r="E121" s="283"/>
      <c r="F121" s="283"/>
      <c r="G121" s="283"/>
      <c r="H121" s="283"/>
      <c r="I121" s="284"/>
    </row>
    <row r="122" spans="1:9" ht="15" x14ac:dyDescent="0.2">
      <c r="A122" s="285"/>
      <c r="B122" s="286"/>
      <c r="C122" s="286"/>
      <c r="D122" s="286"/>
      <c r="E122" s="286"/>
      <c r="F122" s="286"/>
      <c r="G122" s="286"/>
      <c r="H122" s="286"/>
      <c r="I122" s="286"/>
    </row>
    <row r="123" spans="1:9" ht="19.5" customHeight="1" x14ac:dyDescent="0.2">
      <c r="A123" s="287" t="s">
        <v>98</v>
      </c>
      <c r="B123" s="288"/>
      <c r="C123" s="288"/>
      <c r="D123" s="288"/>
      <c r="E123" s="288"/>
      <c r="F123" s="288"/>
      <c r="G123" s="288"/>
      <c r="H123" s="288"/>
      <c r="I123" s="289"/>
    </row>
    <row r="124" spans="1:9" ht="12.75" customHeight="1" x14ac:dyDescent="0.2">
      <c r="A124" s="208" t="s">
        <v>73</v>
      </c>
      <c r="B124" s="209"/>
      <c r="C124" s="209"/>
      <c r="D124" s="209"/>
      <c r="E124" s="209"/>
      <c r="F124" s="209"/>
      <c r="G124" s="209"/>
      <c r="H124" s="210"/>
      <c r="I124" s="127" t="s">
        <v>19</v>
      </c>
    </row>
    <row r="125" spans="1:9" ht="12.75" customHeight="1" x14ac:dyDescent="0.2">
      <c r="A125" s="17" t="s">
        <v>1</v>
      </c>
      <c r="B125" s="181" t="s">
        <v>74</v>
      </c>
      <c r="C125" s="182"/>
      <c r="D125" s="182"/>
      <c r="E125" s="182"/>
      <c r="F125" s="182"/>
      <c r="G125" s="182"/>
      <c r="H125" s="183"/>
      <c r="I125" s="129">
        <f>I29</f>
        <v>3579.18</v>
      </c>
    </row>
    <row r="126" spans="1:9" ht="12.75" customHeight="1" x14ac:dyDescent="0.2">
      <c r="A126" s="17" t="s">
        <v>3</v>
      </c>
      <c r="B126" s="181" t="s">
        <v>50</v>
      </c>
      <c r="C126" s="182"/>
      <c r="D126" s="182"/>
      <c r="E126" s="182"/>
      <c r="F126" s="182"/>
      <c r="G126" s="182"/>
      <c r="H126" s="183"/>
      <c r="I126" s="129">
        <f>I67</f>
        <v>2964.85</v>
      </c>
    </row>
    <row r="127" spans="1:9" ht="12.75" customHeight="1" x14ac:dyDescent="0.2">
      <c r="A127" s="17" t="s">
        <v>5</v>
      </c>
      <c r="B127" s="181" t="s">
        <v>75</v>
      </c>
      <c r="C127" s="182"/>
      <c r="D127" s="182"/>
      <c r="E127" s="182"/>
      <c r="F127" s="182"/>
      <c r="G127" s="182"/>
      <c r="H127" s="183"/>
      <c r="I127" s="129">
        <f>I77</f>
        <v>740.41</v>
      </c>
    </row>
    <row r="128" spans="1:9" ht="12.75" customHeight="1" x14ac:dyDescent="0.2">
      <c r="A128" s="17" t="s">
        <v>7</v>
      </c>
      <c r="B128" s="181" t="s">
        <v>63</v>
      </c>
      <c r="C128" s="182"/>
      <c r="D128" s="182"/>
      <c r="E128" s="182"/>
      <c r="F128" s="182"/>
      <c r="G128" s="182"/>
      <c r="H128" s="183"/>
      <c r="I128" s="129">
        <f>I98</f>
        <v>199.43</v>
      </c>
    </row>
    <row r="129" spans="1:9" ht="12.75" customHeight="1" x14ac:dyDescent="0.2">
      <c r="A129" s="17" t="s">
        <v>21</v>
      </c>
      <c r="B129" s="181" t="s">
        <v>76</v>
      </c>
      <c r="C129" s="182"/>
      <c r="D129" s="182"/>
      <c r="E129" s="182"/>
      <c r="F129" s="182"/>
      <c r="G129" s="182"/>
      <c r="H129" s="183"/>
      <c r="I129" s="129">
        <f>I104</f>
        <v>142.38999999999999</v>
      </c>
    </row>
    <row r="130" spans="1:9" ht="12.75" customHeight="1" x14ac:dyDescent="0.25">
      <c r="A130" s="306" t="s">
        <v>77</v>
      </c>
      <c r="B130" s="307"/>
      <c r="C130" s="307"/>
      <c r="D130" s="307"/>
      <c r="E130" s="307"/>
      <c r="F130" s="307"/>
      <c r="G130" s="307"/>
      <c r="H130" s="308"/>
      <c r="I130" s="144">
        <f>SUM(I125:I129)</f>
        <v>7626.26</v>
      </c>
    </row>
    <row r="131" spans="1:9" ht="12.75" customHeight="1" x14ac:dyDescent="0.2">
      <c r="A131" s="17" t="s">
        <v>23</v>
      </c>
      <c r="B131" s="181" t="s">
        <v>78</v>
      </c>
      <c r="C131" s="182"/>
      <c r="D131" s="182"/>
      <c r="E131" s="182"/>
      <c r="F131" s="182"/>
      <c r="G131" s="182"/>
      <c r="H131" s="183"/>
      <c r="I131" s="145">
        <f>I120</f>
        <v>2065.9</v>
      </c>
    </row>
    <row r="132" spans="1:9" ht="12.75" customHeight="1" x14ac:dyDescent="0.2">
      <c r="A132" s="309" t="s">
        <v>79</v>
      </c>
      <c r="B132" s="310"/>
      <c r="C132" s="310"/>
      <c r="D132" s="310"/>
      <c r="E132" s="310"/>
      <c r="F132" s="310"/>
      <c r="G132" s="310"/>
      <c r="H132" s="311"/>
      <c r="I132" s="146">
        <f>SUM(I130+I113+I114)/(1-H115)</f>
        <v>9692.16</v>
      </c>
    </row>
    <row r="133" spans="1:9" ht="12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47"/>
    </row>
    <row r="134" spans="1:9" ht="12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47"/>
    </row>
    <row r="135" spans="1:9" ht="15.75" customHeight="1" thickBot="1" x14ac:dyDescent="0.25">
      <c r="A135" s="312" t="s">
        <v>99</v>
      </c>
      <c r="B135" s="312"/>
      <c r="C135" s="312"/>
      <c r="D135" s="312"/>
      <c r="E135" s="312"/>
      <c r="F135" s="312"/>
      <c r="G135" s="312"/>
      <c r="H135" s="312"/>
      <c r="I135" s="312"/>
    </row>
    <row r="136" spans="1:9" ht="51.75" customHeight="1" thickBot="1" x14ac:dyDescent="0.25">
      <c r="A136" s="45" t="s">
        <v>100</v>
      </c>
      <c r="B136" s="65" t="s">
        <v>80</v>
      </c>
      <c r="C136" s="99" t="s">
        <v>101</v>
      </c>
      <c r="D136" s="313" t="s">
        <v>102</v>
      </c>
      <c r="E136" s="314"/>
      <c r="F136" s="315"/>
      <c r="G136" s="66" t="s">
        <v>81</v>
      </c>
      <c r="H136" s="316" t="s">
        <v>103</v>
      </c>
      <c r="I136" s="317"/>
    </row>
    <row r="137" spans="1:9" ht="86.25" customHeight="1" thickBot="1" x14ac:dyDescent="0.25">
      <c r="A137" s="46" t="s">
        <v>187</v>
      </c>
      <c r="B137" s="55">
        <f>I132</f>
        <v>9692.16</v>
      </c>
      <c r="C137" s="46">
        <v>1</v>
      </c>
      <c r="D137" s="293">
        <f>SUM(B137*C137)</f>
        <v>9692.16</v>
      </c>
      <c r="E137" s="294"/>
      <c r="F137" s="295"/>
      <c r="G137" s="67">
        <v>1</v>
      </c>
      <c r="H137" s="296">
        <f>SUM(D137*G137)</f>
        <v>9692.16</v>
      </c>
      <c r="I137" s="297"/>
    </row>
    <row r="138" spans="1:9" ht="15.75" thickBot="1" x14ac:dyDescent="0.3">
      <c r="A138" s="21"/>
      <c r="B138" s="22"/>
      <c r="C138" s="21"/>
      <c r="D138" s="22"/>
      <c r="E138" s="23"/>
      <c r="F138" s="24"/>
      <c r="G138" s="20"/>
      <c r="H138" s="20"/>
      <c r="I138" s="148"/>
    </row>
    <row r="139" spans="1:9" ht="15.75" customHeight="1" thickBot="1" x14ac:dyDescent="0.25">
      <c r="A139" s="298" t="s">
        <v>104</v>
      </c>
      <c r="B139" s="299"/>
      <c r="C139" s="299"/>
      <c r="D139" s="299"/>
      <c r="E139" s="299"/>
      <c r="F139" s="300"/>
      <c r="G139" s="50"/>
      <c r="H139" s="50"/>
      <c r="I139" s="149"/>
    </row>
    <row r="140" spans="1:9" ht="15.75" thickBot="1" x14ac:dyDescent="0.3">
      <c r="A140" s="43"/>
      <c r="B140" s="301" t="s">
        <v>105</v>
      </c>
      <c r="C140" s="302"/>
      <c r="D140" s="302"/>
      <c r="E140" s="303"/>
      <c r="F140" s="43" t="s">
        <v>106</v>
      </c>
      <c r="G140" s="20"/>
      <c r="H140" s="20"/>
      <c r="I140" s="148"/>
    </row>
    <row r="141" spans="1:9" ht="45.75" thickBot="1" x14ac:dyDescent="0.3">
      <c r="A141" s="44" t="s">
        <v>1</v>
      </c>
      <c r="B141" s="51" t="s">
        <v>107</v>
      </c>
      <c r="C141" s="52"/>
      <c r="D141" s="304" t="s">
        <v>108</v>
      </c>
      <c r="E141" s="305"/>
      <c r="F141" s="53">
        <f>H137</f>
        <v>9692.16</v>
      </c>
      <c r="G141" s="20"/>
      <c r="H141" s="20"/>
      <c r="I141" s="148"/>
    </row>
    <row r="142" spans="1:9" ht="26.25" customHeight="1" thickBot="1" x14ac:dyDescent="0.3">
      <c r="A142" s="44" t="s">
        <v>3</v>
      </c>
      <c r="B142" s="290" t="s">
        <v>109</v>
      </c>
      <c r="C142" s="291"/>
      <c r="D142" s="292"/>
      <c r="E142" s="54"/>
      <c r="F142" s="53">
        <f>H137</f>
        <v>9692.16</v>
      </c>
      <c r="G142" s="20"/>
      <c r="H142" s="20"/>
      <c r="I142" s="148"/>
    </row>
    <row r="143" spans="1:9" ht="69.75" customHeight="1" thickBot="1" x14ac:dyDescent="0.3">
      <c r="A143" s="44" t="s">
        <v>5</v>
      </c>
      <c r="B143" s="290" t="s">
        <v>171</v>
      </c>
      <c r="C143" s="291"/>
      <c r="D143" s="292"/>
      <c r="E143" s="54"/>
      <c r="F143" s="53">
        <f>F142*12</f>
        <v>116305.92</v>
      </c>
      <c r="G143" s="20"/>
      <c r="H143" s="20"/>
      <c r="I143" s="148"/>
    </row>
  </sheetData>
  <mergeCells count="141">
    <mergeCell ref="B143:D143"/>
    <mergeCell ref="D137:F137"/>
    <mergeCell ref="H137:I137"/>
    <mergeCell ref="A139:F139"/>
    <mergeCell ref="B140:E140"/>
    <mergeCell ref="D141:E141"/>
    <mergeCell ref="B142:D142"/>
    <mergeCell ref="A130:H130"/>
    <mergeCell ref="B131:H131"/>
    <mergeCell ref="A132:H132"/>
    <mergeCell ref="A135:I135"/>
    <mergeCell ref="D136:F136"/>
    <mergeCell ref="H136:I136"/>
    <mergeCell ref="A124:H124"/>
    <mergeCell ref="B125:H125"/>
    <mergeCell ref="B126:H126"/>
    <mergeCell ref="B127:H127"/>
    <mergeCell ref="B128:H128"/>
    <mergeCell ref="B129:H129"/>
    <mergeCell ref="B118:G118"/>
    <mergeCell ref="B119:G119"/>
    <mergeCell ref="A120:G120"/>
    <mergeCell ref="A121:I121"/>
    <mergeCell ref="A122:I122"/>
    <mergeCell ref="A123:I123"/>
    <mergeCell ref="B112:G112"/>
    <mergeCell ref="B113:G113"/>
    <mergeCell ref="B114:G114"/>
    <mergeCell ref="B115:G115"/>
    <mergeCell ref="B116:G116"/>
    <mergeCell ref="B117:G117"/>
    <mergeCell ref="B103:H103"/>
    <mergeCell ref="A104:H104"/>
    <mergeCell ref="A105:G110"/>
    <mergeCell ref="A111:I111"/>
    <mergeCell ref="B97:G97"/>
    <mergeCell ref="A98:H98"/>
    <mergeCell ref="A99:I99"/>
    <mergeCell ref="A100:I100"/>
    <mergeCell ref="B101:H101"/>
    <mergeCell ref="B102:H102"/>
    <mergeCell ref="B92:G92"/>
    <mergeCell ref="A93:H93"/>
    <mergeCell ref="A94:I94"/>
    <mergeCell ref="B95:H95"/>
    <mergeCell ref="B96:G96"/>
    <mergeCell ref="B86:G86"/>
    <mergeCell ref="B87:G87"/>
    <mergeCell ref="B88:G88"/>
    <mergeCell ref="B89:G89"/>
    <mergeCell ref="A90:H90"/>
    <mergeCell ref="B91:H91"/>
    <mergeCell ref="A77:H77"/>
    <mergeCell ref="A78:G81"/>
    <mergeCell ref="A82:I82"/>
    <mergeCell ref="B83:G83"/>
    <mergeCell ref="B84:G84"/>
    <mergeCell ref="B85:G85"/>
    <mergeCell ref="B71:G71"/>
    <mergeCell ref="B72:G72"/>
    <mergeCell ref="B73:G73"/>
    <mergeCell ref="B74:G74"/>
    <mergeCell ref="B75:G75"/>
    <mergeCell ref="B76:G76"/>
    <mergeCell ref="B65:H65"/>
    <mergeCell ref="B66:H66"/>
    <mergeCell ref="A67:H67"/>
    <mergeCell ref="A68:I68"/>
    <mergeCell ref="A69:I69"/>
    <mergeCell ref="B70:G70"/>
    <mergeCell ref="B59:G59"/>
    <mergeCell ref="B60:G60"/>
    <mergeCell ref="B61:H61"/>
    <mergeCell ref="A62:I62"/>
    <mergeCell ref="B63:H63"/>
    <mergeCell ref="B64:H64"/>
    <mergeCell ref="B53:G53"/>
    <mergeCell ref="B54:G54"/>
    <mergeCell ref="B55:G55"/>
    <mergeCell ref="B56:G56"/>
    <mergeCell ref="B57:G57"/>
    <mergeCell ref="B58:G58"/>
    <mergeCell ref="B47:G47"/>
    <mergeCell ref="B48:G48"/>
    <mergeCell ref="A49:G49"/>
    <mergeCell ref="A50:I50"/>
    <mergeCell ref="B51:H51"/>
    <mergeCell ref="B52:H52"/>
    <mergeCell ref="B41:G41"/>
    <mergeCell ref="B42:G42"/>
    <mergeCell ref="B43:G43"/>
    <mergeCell ref="B44:G44"/>
    <mergeCell ref="B45:G45"/>
    <mergeCell ref="B46:G46"/>
    <mergeCell ref="B33:G33"/>
    <mergeCell ref="B34:G34"/>
    <mergeCell ref="A35:G35"/>
    <mergeCell ref="A36:G38"/>
    <mergeCell ref="A39:I39"/>
    <mergeCell ref="B40:G40"/>
    <mergeCell ref="B28:G28"/>
    <mergeCell ref="A29:H29"/>
    <mergeCell ref="A30:I30"/>
    <mergeCell ref="A31:I31"/>
    <mergeCell ref="B32:G32"/>
    <mergeCell ref="B22:G22"/>
    <mergeCell ref="B23:H23"/>
    <mergeCell ref="B24:G24"/>
    <mergeCell ref="B25:G25"/>
    <mergeCell ref="B26:G26"/>
    <mergeCell ref="B27:G27"/>
    <mergeCell ref="B18:G18"/>
    <mergeCell ref="H18:I18"/>
    <mergeCell ref="B19:G19"/>
    <mergeCell ref="H19:I19"/>
    <mergeCell ref="A20:I20"/>
    <mergeCell ref="A21:I21"/>
    <mergeCell ref="B15:G15"/>
    <mergeCell ref="H15:I15"/>
    <mergeCell ref="B16:G16"/>
    <mergeCell ref="H16:I16"/>
    <mergeCell ref="B17:G17"/>
    <mergeCell ref="H17:I17"/>
    <mergeCell ref="B10:G10"/>
    <mergeCell ref="H10:I10"/>
    <mergeCell ref="A11:I11"/>
    <mergeCell ref="A12:I12"/>
    <mergeCell ref="A13:I13"/>
    <mergeCell ref="A14:I14"/>
    <mergeCell ref="B7:G7"/>
    <mergeCell ref="H7:I7"/>
    <mergeCell ref="B8:G8"/>
    <mergeCell ref="H8:I8"/>
    <mergeCell ref="B9:G9"/>
    <mergeCell ref="H9:I9"/>
    <mergeCell ref="A1:I1"/>
    <mergeCell ref="A2:I2"/>
    <mergeCell ref="A3:I3"/>
    <mergeCell ref="A4:I4"/>
    <mergeCell ref="A5:I5"/>
    <mergeCell ref="A6:I6"/>
  </mergeCells>
  <pageMargins left="0.511811024" right="0.511811024" top="0.78740157499999996" bottom="0.78740157499999996" header="0.31496062000000002" footer="0.31496062000000002"/>
  <pageSetup paperSize="9" scale="65" orientation="portrait" r:id="rId1"/>
  <rowBreaks count="2" manualBreakCount="2">
    <brk id="49" max="8" man="1"/>
    <brk id="110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PROPOSTA RESUMO</vt:lpstr>
      <vt:lpstr>12X36 DIURNO </vt:lpstr>
      <vt:lpstr>12X36 NOTURNO</vt:lpstr>
      <vt:lpstr>44 HR  SEMANAIS</vt:lpstr>
      <vt:lpstr>44 HR  SEMANAIS LIDER</vt:lpstr>
      <vt:lpstr>'12X36 DIURNO '!Area_de_impressao</vt:lpstr>
      <vt:lpstr>'12X36 NOTURNO'!Area_de_impressao</vt:lpstr>
      <vt:lpstr>'44 HR  SEMANAIS'!Area_de_impressao</vt:lpstr>
      <vt:lpstr>'44 HR  SEMANAIS LIDER'!Area_de_impressao</vt:lpstr>
      <vt:lpstr>'PROPOSTA RESUMO'!Area_de_impressao</vt:lpstr>
    </vt:vector>
  </TitlesOfParts>
  <Company>Ministerio da Fazenda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da Receita Federal</dc:creator>
  <cp:lastModifiedBy>RH2</cp:lastModifiedBy>
  <cp:revision>1</cp:revision>
  <cp:lastPrinted>2020-01-16T13:59:28Z</cp:lastPrinted>
  <dcterms:created xsi:type="dcterms:W3CDTF">2008-06-13T13:15:31Z</dcterms:created>
  <dcterms:modified xsi:type="dcterms:W3CDTF">2025-10-30T18:53:29Z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Ministerio da Fazenda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